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embeddings/oleObject1.bin" ContentType="application/vnd.openxmlformats-officedocument.oleObject"/>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V:\ORG\RL\Produkte\06.02_ELEKTRA\06.3_Devel\08_DSTW_ELEKTRA_4.0\02_RAM\08_SplitBrain\"/>
    </mc:Choice>
  </mc:AlternateContent>
  <xr:revisionPtr revIDLastSave="0" documentId="13_ncr:1_{1D531048-6824-47C4-89F8-F81987FD195E}" xr6:coauthVersionLast="47" xr6:coauthVersionMax="47" xr10:uidLastSave="{00000000-0000-0000-0000-000000000000}"/>
  <bookViews>
    <workbookView xWindow="38295" yWindow="0" windowWidth="38610" windowHeight="20985" firstSheet="2" activeTab="7" xr2:uid="{00000000-000D-0000-FFFF-FFFF00000000}"/>
  </bookViews>
  <sheets>
    <sheet name="Cover Sheet" sheetId="2" state="hidden" r:id="rId1"/>
    <sheet name="Edition" sheetId="7" state="hidden" r:id="rId2"/>
    <sheet name="1.Architechture" sheetId="12" r:id="rId3"/>
    <sheet name="2.Failure Rates" sheetId="20" r:id="rId4"/>
    <sheet name="3.Components_1" sheetId="21" state="hidden" r:id="rId5"/>
    <sheet name="3.Overview" sheetId="28" r:id="rId6"/>
    <sheet name="4.1 Calculations 2x(2oo2)" sheetId="25" r:id="rId7"/>
    <sheet name="Split_Brain_260910" sheetId="35" r:id="rId8"/>
    <sheet name="4.2 Calculations 2oo3_hot" sheetId="26" state="hidden" r:id="rId9"/>
    <sheet name="4.3 Calculations  Warm_standby" sheetId="27" state="hidden" r:id="rId10"/>
    <sheet name="5.Summary" sheetId="30" state="hidden" r:id="rId11"/>
    <sheet name="6.Info" sheetId="34" state="hidden" r:id="rId12"/>
    <sheet name="6.Lastenheft OBB" sheetId="32" state="hidden" r:id="rId13"/>
    <sheet name="7.Lastenheft_RAM" sheetId="31" state="hidden" r:id="rId14"/>
    <sheet name="8. Verfügbarkeitsanforderungen" sheetId="33" r:id="rId15"/>
    <sheet name="settings" sheetId="15" r:id="rId16"/>
    <sheet name="considerations" sheetId="19" state="hidden" r:id="rId17"/>
  </sheets>
  <externalReferences>
    <externalReference r:id="rId18"/>
    <externalReference r:id="rId19"/>
  </externalReferences>
  <definedNames>
    <definedName name="_xlnm._FilterDatabase" localSheetId="12" hidden="1">'6.Lastenheft OBB'!$A$1:$H$184</definedName>
    <definedName name="Control_Plane" localSheetId="10">'5.Summary'!#REF!</definedName>
    <definedName name="Control_Plane">'2.Failure Rates'!$E$9</definedName>
    <definedName name="Control_Slave" localSheetId="10">'5.Summary'!#REF!</definedName>
    <definedName name="Control_Slave">'2.Failure Rates'!$E$12</definedName>
    <definedName name="Data_Slave" localSheetId="10">'5.Summary'!#REF!</definedName>
    <definedName name="Data_Slave">'2.Failure Rates'!$E$14</definedName>
    <definedName name="Data_Storage" localSheetId="10">'5.Summary'!#REF!</definedName>
    <definedName name="Data_Storage">'2.Failure Rates'!$E$11</definedName>
    <definedName name="hours_per_year">settings!$B$11</definedName>
    <definedName name="min_per_year">settings!$B$12</definedName>
    <definedName name="MTTR_10min">settings!$B$6</definedName>
    <definedName name="MTTR_15min">settings!$B$5</definedName>
    <definedName name="MTTR_1h">settings!$B$2</definedName>
    <definedName name="MTTR_1min">settings!$B$10</definedName>
    <definedName name="MTTR_2min">settings!$B$9</definedName>
    <definedName name="MTTR_3min">settings!$B$8</definedName>
    <definedName name="MTTR_3sec">settings!$B$14</definedName>
    <definedName name="MTTR_4h">settings!$B$3</definedName>
    <definedName name="MTTR_5min">settings!$B$7</definedName>
    <definedName name="MTTR_8h">settings!$B$4</definedName>
    <definedName name="nano">settings!$B$1</definedName>
    <definedName name="Network" localSheetId="6">'4.1 Calculations 2x(2oo2)'!$D$15</definedName>
    <definedName name="Network" localSheetId="8">'4.2 Calculations 2oo3_hot'!$D$14</definedName>
    <definedName name="Network" localSheetId="9">'4.3 Calculations  Warm_standby'!$D$12</definedName>
    <definedName name="Network" localSheetId="10">#REF!</definedName>
    <definedName name="Network">#REF!</definedName>
    <definedName name="_xlnm.Print_Area" localSheetId="2">'1.Architechture'!$A$4:$E$53</definedName>
    <definedName name="_xlnm.Print_Area" localSheetId="3">'2.Failure Rates'!$B$7:$G$21</definedName>
    <definedName name="_xlnm.Print_Area" localSheetId="4">'3.Components_1'!$B$7:$O$48</definedName>
    <definedName name="_xlnm.Print_Area" localSheetId="6">'4.1 Calculations 2x(2oo2)'!$B$4:$M$81</definedName>
    <definedName name="_xlnm.Print_Area" localSheetId="8">'4.2 Calculations 2oo3_hot'!$B$4:$M$91</definedName>
    <definedName name="_xlnm.Print_Area" localSheetId="9">'4.3 Calculations  Warm_standby'!$B$4:$M$89</definedName>
    <definedName name="_xlnm.Print_Area" localSheetId="0">'Cover Sheet'!$A$4:$E$41</definedName>
    <definedName name="_xlnm.Print_Area" localSheetId="1">Edition!$A$4:$F$46</definedName>
    <definedName name="proc" localSheetId="2">'[1]Log of changes and approval'!$N$36:$N$62</definedName>
    <definedName name="proc" localSheetId="3">'[1]Log of changes and approval'!$N$36:$N$62</definedName>
    <definedName name="proc" localSheetId="4">'[1]Log of changes and approval'!$N$36:$N$62</definedName>
    <definedName name="proc" localSheetId="6">'[2]Log of changes and approval'!$N$36:$N$62</definedName>
    <definedName name="proc" localSheetId="8">'[2]Log of changes and approval'!$N$36:$N$62</definedName>
    <definedName name="proc" localSheetId="9">'[2]Log of changes and approval'!$N$36:$N$62</definedName>
    <definedName name="proc" localSheetId="10">'[1]Log of changes and approval'!$N$36:$N$62</definedName>
    <definedName name="proc" localSheetId="1">'[1]Log of changes and approval'!$N$36:$N$62</definedName>
    <definedName name="proc" localSheetId="15">#REF!</definedName>
    <definedName name="proc">#REF!</definedName>
    <definedName name="secs_per_year">settings!$B$13</definedName>
    <definedName name="Server_Master" localSheetId="10">'5.Summary'!#REF!</definedName>
    <definedName name="Server_Master">'2.Failure Rates'!$E$10</definedName>
    <definedName name="Server_Slave" localSheetId="10">'5.Summary'!#REF!</definedName>
    <definedName name="Server_Slave">'2.Failure Rates'!$E$13</definedName>
    <definedName name="Switch" localSheetId="10">'5.Summary'!#REF!</definedName>
    <definedName name="Switch">'2.Failure Rates'!$E$16</definedName>
    <definedName name="Switch_hot" localSheetId="10">'5.Summary'!#REF!</definedName>
    <definedName name="Switch_hot">'2.Failure Rates'!$E$17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35" l="1"/>
  <c r="B45" i="35"/>
  <c r="B46" i="35"/>
  <c r="B47" i="35"/>
  <c r="B48" i="35"/>
  <c r="B49" i="35"/>
  <c r="C46" i="35" l="1"/>
  <c r="C47" i="35"/>
  <c r="C48" i="35"/>
  <c r="C49" i="35"/>
  <c r="C45" i="35"/>
  <c r="C44" i="35"/>
  <c r="D44" i="35" s="1"/>
  <c r="B36" i="35"/>
  <c r="B37" i="35"/>
  <c r="B38" i="35"/>
  <c r="B39" i="35"/>
  <c r="B40" i="35"/>
  <c r="B35" i="35"/>
  <c r="C18" i="35"/>
  <c r="C19" i="35"/>
  <c r="C20" i="35"/>
  <c r="C21" i="35"/>
  <c r="C22" i="35"/>
  <c r="C17" i="35"/>
  <c r="B18" i="35"/>
  <c r="B19" i="35"/>
  <c r="B20" i="35"/>
  <c r="B21" i="35"/>
  <c r="B22" i="35"/>
  <c r="B17" i="35"/>
  <c r="F164" i="25"/>
  <c r="G168" i="25" s="1"/>
  <c r="F163" i="25"/>
  <c r="G169" i="25" s="1"/>
  <c r="D46" i="35" l="1"/>
  <c r="E46" i="35"/>
  <c r="F46" i="35" s="1"/>
  <c r="D49" i="35"/>
  <c r="E49" i="35"/>
  <c r="F49" i="35" s="1"/>
  <c r="D48" i="35"/>
  <c r="E48" i="35"/>
  <c r="F48" i="35" s="1"/>
  <c r="E47" i="35"/>
  <c r="F47" i="35" s="1"/>
  <c r="D47" i="35"/>
  <c r="D45" i="35"/>
  <c r="E45" i="35"/>
  <c r="F45" i="35" s="1"/>
  <c r="E44" i="35"/>
  <c r="F44" i="35" s="1"/>
  <c r="I44" i="35" s="1"/>
  <c r="G170" i="25"/>
  <c r="G17" i="35"/>
  <c r="E26" i="35" s="1"/>
  <c r="F35" i="35" s="1"/>
  <c r="F168" i="25"/>
  <c r="F169" i="25"/>
  <c r="D21" i="35"/>
  <c r="E21" i="35" s="1"/>
  <c r="D18" i="35"/>
  <c r="E18" i="35" s="1"/>
  <c r="D17" i="35"/>
  <c r="B26" i="35" s="1"/>
  <c r="G21" i="35"/>
  <c r="E30" i="35" s="1"/>
  <c r="F39" i="35" s="1"/>
  <c r="D20" i="35"/>
  <c r="E20" i="35" s="1"/>
  <c r="D19" i="35"/>
  <c r="E19" i="35" s="1"/>
  <c r="G22" i="35"/>
  <c r="H22" i="35" s="1"/>
  <c r="G19" i="35"/>
  <c r="H19" i="35" s="1"/>
  <c r="G18" i="35"/>
  <c r="I18" i="35" s="1"/>
  <c r="G20" i="35"/>
  <c r="I20" i="35" s="1"/>
  <c r="D22" i="35"/>
  <c r="I164" i="25"/>
  <c r="H164" i="25"/>
  <c r="I163" i="25"/>
  <c r="H163" i="25"/>
  <c r="H47" i="35" l="1"/>
  <c r="I47" i="35"/>
  <c r="G47" i="35"/>
  <c r="G49" i="35"/>
  <c r="H49" i="35"/>
  <c r="I49" i="35"/>
  <c r="H46" i="35"/>
  <c r="I46" i="35"/>
  <c r="G46" i="35"/>
  <c r="G48" i="35"/>
  <c r="H48" i="35"/>
  <c r="I48" i="35"/>
  <c r="H45" i="35"/>
  <c r="G45" i="35"/>
  <c r="I45" i="35"/>
  <c r="G44" i="35"/>
  <c r="H44" i="35"/>
  <c r="I17" i="35"/>
  <c r="H17" i="35"/>
  <c r="F20" i="35"/>
  <c r="B29" i="35"/>
  <c r="C29" i="35" s="1"/>
  <c r="F170" i="25"/>
  <c r="H39" i="35"/>
  <c r="G39" i="35"/>
  <c r="I39" i="35"/>
  <c r="D26" i="35"/>
  <c r="C35" i="35"/>
  <c r="H35" i="35"/>
  <c r="G35" i="35"/>
  <c r="I35" i="35"/>
  <c r="G171" i="25"/>
  <c r="G172" i="25" s="1"/>
  <c r="G173" i="25"/>
  <c r="G174" i="25" s="1"/>
  <c r="F19" i="35"/>
  <c r="B28" i="35"/>
  <c r="F21" i="35"/>
  <c r="E17" i="35"/>
  <c r="I21" i="35"/>
  <c r="F18" i="35"/>
  <c r="B27" i="35"/>
  <c r="F17" i="35"/>
  <c r="B30" i="35"/>
  <c r="C39" i="35" s="1"/>
  <c r="C26" i="35"/>
  <c r="H21" i="35"/>
  <c r="H18" i="35"/>
  <c r="E27" i="35"/>
  <c r="I22" i="35"/>
  <c r="E28" i="35"/>
  <c r="E31" i="35"/>
  <c r="I19" i="35"/>
  <c r="E29" i="35"/>
  <c r="H20" i="35"/>
  <c r="G30" i="35"/>
  <c r="F30" i="35"/>
  <c r="H30" i="35"/>
  <c r="I30" i="35"/>
  <c r="G26" i="35"/>
  <c r="I26" i="35"/>
  <c r="F26" i="35"/>
  <c r="H26" i="35"/>
  <c r="F22" i="35"/>
  <c r="B31" i="35"/>
  <c r="C40" i="35" s="1"/>
  <c r="E22" i="35"/>
  <c r="D142" i="25"/>
  <c r="B128" i="25"/>
  <c r="B129" i="25" s="1"/>
  <c r="B130" i="25" s="1"/>
  <c r="B131" i="25" s="1"/>
  <c r="B132" i="25" s="1"/>
  <c r="D124" i="25"/>
  <c r="F123" i="25"/>
  <c r="E123" i="25"/>
  <c r="E39" i="35" l="1"/>
  <c r="D39" i="35"/>
  <c r="E35" i="35"/>
  <c r="D35" i="35"/>
  <c r="C27" i="35"/>
  <c r="C36" i="35"/>
  <c r="F29" i="35"/>
  <c r="F38" i="35"/>
  <c r="F171" i="25"/>
  <c r="F172" i="25" s="1"/>
  <c r="F173" i="25"/>
  <c r="F174" i="25" s="1"/>
  <c r="I27" i="35"/>
  <c r="F36" i="35"/>
  <c r="I31" i="35"/>
  <c r="F40" i="35"/>
  <c r="D29" i="35"/>
  <c r="C38" i="35"/>
  <c r="E40" i="35"/>
  <c r="D40" i="35"/>
  <c r="G28" i="35"/>
  <c r="F37" i="35"/>
  <c r="D28" i="35"/>
  <c r="C37" i="35"/>
  <c r="H28" i="35"/>
  <c r="F28" i="35"/>
  <c r="C28" i="35"/>
  <c r="D27" i="35"/>
  <c r="G27" i="35"/>
  <c r="H27" i="35"/>
  <c r="D30" i="35"/>
  <c r="C30" i="35"/>
  <c r="G31" i="35"/>
  <c r="I28" i="35"/>
  <c r="F27" i="35"/>
  <c r="H31" i="35"/>
  <c r="F31" i="35"/>
  <c r="G29" i="35"/>
  <c r="I29" i="35"/>
  <c r="H29" i="35"/>
  <c r="D31" i="35"/>
  <c r="C31" i="35"/>
  <c r="J136" i="25"/>
  <c r="J135" i="25"/>
  <c r="J134" i="25"/>
  <c r="J133" i="25"/>
  <c r="J132" i="25"/>
  <c r="J131" i="25"/>
  <c r="K131" i="25" s="1"/>
  <c r="M131" i="25" s="1"/>
  <c r="N131" i="25" s="1"/>
  <c r="O131" i="25" s="1"/>
  <c r="D116" i="25"/>
  <c r="E111" i="25"/>
  <c r="F111" i="25" s="1"/>
  <c r="E110" i="25"/>
  <c r="F110" i="25" s="1"/>
  <c r="E109" i="25"/>
  <c r="F109" i="25" s="1"/>
  <c r="D98" i="25"/>
  <c r="D100" i="25" s="1"/>
  <c r="D105" i="25" s="1"/>
  <c r="D91" i="25"/>
  <c r="D87" i="25"/>
  <c r="H40" i="35" l="1"/>
  <c r="I40" i="35"/>
  <c r="G40" i="35"/>
  <c r="G36" i="35"/>
  <c r="I36" i="35"/>
  <c r="H36" i="35"/>
  <c r="E37" i="35"/>
  <c r="D37" i="35"/>
  <c r="H38" i="35"/>
  <c r="G38" i="35"/>
  <c r="I38" i="35"/>
  <c r="G37" i="35"/>
  <c r="I37" i="35"/>
  <c r="H37" i="35"/>
  <c r="E36" i="35"/>
  <c r="D36" i="35"/>
  <c r="D38" i="35"/>
  <c r="E38" i="35"/>
  <c r="L134" i="25"/>
  <c r="K134" i="25"/>
  <c r="M134" i="25" s="1"/>
  <c r="N134" i="25" s="1"/>
  <c r="O134" i="25" s="1"/>
  <c r="L135" i="25"/>
  <c r="K135" i="25"/>
  <c r="M135" i="25" s="1"/>
  <c r="N135" i="25" s="1"/>
  <c r="O135" i="25" s="1"/>
  <c r="L136" i="25"/>
  <c r="K136" i="25"/>
  <c r="M136" i="25" s="1"/>
  <c r="N136" i="25" s="1"/>
  <c r="O136" i="25" s="1"/>
  <c r="L132" i="25"/>
  <c r="K132" i="25"/>
  <c r="M132" i="25" s="1"/>
  <c r="N132" i="25" s="1"/>
  <c r="O132" i="25" s="1"/>
  <c r="L133" i="25"/>
  <c r="K133" i="25"/>
  <c r="M133" i="25" s="1"/>
  <c r="N133" i="25" s="1"/>
  <c r="O133" i="25" s="1"/>
  <c r="L131" i="25"/>
  <c r="D106" i="25"/>
  <c r="E106" i="25" s="1"/>
  <c r="F106" i="25" s="1"/>
  <c r="J66" i="25"/>
  <c r="M66" i="25" s="1"/>
  <c r="K66" i="25" l="1"/>
  <c r="L66" i="25"/>
  <c r="P32" i="28"/>
  <c r="F32" i="28"/>
  <c r="R34" i="28"/>
  <c r="W4" i="28"/>
  <c r="J83" i="33" l="1"/>
  <c r="J82" i="33"/>
  <c r="N110" i="33" l="1"/>
  <c r="K110" i="33"/>
  <c r="L110" i="33" s="1"/>
  <c r="M110" i="33" s="1"/>
  <c r="I110" i="33"/>
  <c r="P110" i="33" l="1"/>
  <c r="Q110" i="33" s="1"/>
  <c r="R110" i="33" s="1"/>
  <c r="N108" i="33"/>
  <c r="Q105" i="33"/>
  <c r="T105" i="33" s="1"/>
  <c r="Q103" i="33"/>
  <c r="S103" i="33" s="1"/>
  <c r="Q104" i="33"/>
  <c r="R104" i="33" s="1"/>
  <c r="Q102" i="33"/>
  <c r="S102" i="33" s="1"/>
  <c r="R103" i="33" l="1"/>
  <c r="R105" i="33"/>
  <c r="S105" i="33"/>
  <c r="R102" i="33"/>
  <c r="T102" i="33"/>
  <c r="S104" i="33"/>
  <c r="S110" i="33"/>
  <c r="T110" i="33"/>
  <c r="T104" i="33"/>
  <c r="T103" i="33"/>
  <c r="S108" i="33" l="1"/>
  <c r="Q108" i="33" s="1"/>
  <c r="P108" i="33" s="1"/>
  <c r="K108" i="33" s="1"/>
  <c r="I108" i="33" s="1"/>
  <c r="J108" i="33" s="1"/>
  <c r="R108" i="33" l="1"/>
  <c r="T108" i="33"/>
  <c r="L108" i="33"/>
  <c r="M108" i="33" s="1"/>
  <c r="S94" i="33"/>
  <c r="R94" i="33"/>
  <c r="T93" i="33"/>
  <c r="S93" i="33"/>
  <c r="R93" i="33"/>
  <c r="S97" i="33"/>
  <c r="R97" i="33"/>
  <c r="S96" i="33"/>
  <c r="R96" i="33"/>
  <c r="S95" i="33"/>
  <c r="R95" i="33"/>
  <c r="S92" i="33"/>
  <c r="R92" i="33"/>
  <c r="S91" i="33"/>
  <c r="R91" i="33"/>
  <c r="S90" i="33"/>
  <c r="R90" i="33"/>
  <c r="S89" i="33"/>
  <c r="R89" i="33"/>
  <c r="T88" i="33"/>
  <c r="T83" i="33"/>
  <c r="S88" i="33"/>
  <c r="S83" i="33"/>
  <c r="S87" i="33"/>
  <c r="R87" i="33"/>
  <c r="R83" i="33"/>
  <c r="S86" i="33"/>
  <c r="S85" i="33"/>
  <c r="S84" i="33"/>
  <c r="R86" i="33"/>
  <c r="R85" i="33"/>
  <c r="R84" i="33"/>
  <c r="F17" i="33"/>
  <c r="I17" i="33" s="1"/>
  <c r="F16" i="33"/>
  <c r="H16" i="33" s="1"/>
  <c r="F15" i="33"/>
  <c r="I15" i="33" s="1"/>
  <c r="F14" i="33"/>
  <c r="G14" i="33" s="1"/>
  <c r="F11" i="33"/>
  <c r="I11" i="33" s="1"/>
  <c r="F10" i="33"/>
  <c r="I10" i="33" s="1"/>
  <c r="F9" i="33"/>
  <c r="H9" i="33" s="1"/>
  <c r="J88" i="31"/>
  <c r="K88" i="31" s="1"/>
  <c r="J73" i="31"/>
  <c r="M73" i="31" s="1"/>
  <c r="J53" i="31"/>
  <c r="M53" i="31" s="1"/>
  <c r="J25" i="31"/>
  <c r="M25" i="31" s="1"/>
  <c r="J19" i="31"/>
  <c r="K19" i="31" s="1"/>
  <c r="J20" i="31"/>
  <c r="K20" i="31" s="1"/>
  <c r="J18" i="31"/>
  <c r="M18" i="31" s="1"/>
  <c r="I9" i="33" l="1"/>
  <c r="G9" i="33"/>
  <c r="G17" i="33"/>
  <c r="G11" i="33"/>
  <c r="H17" i="33"/>
  <c r="H11" i="33"/>
  <c r="H14" i="33"/>
  <c r="I14" i="33"/>
  <c r="G16" i="33"/>
  <c r="I16" i="33"/>
  <c r="H15" i="33"/>
  <c r="G15" i="33"/>
  <c r="G10" i="33"/>
  <c r="H10" i="33"/>
  <c r="M88" i="31"/>
  <c r="L88" i="31"/>
  <c r="K73" i="31"/>
  <c r="L73" i="31"/>
  <c r="K53" i="31"/>
  <c r="L53" i="31"/>
  <c r="L19" i="31"/>
  <c r="K18" i="31"/>
  <c r="L18" i="31"/>
  <c r="M19" i="31"/>
  <c r="K25" i="31"/>
  <c r="L25" i="31"/>
  <c r="M20" i="31"/>
  <c r="L20" i="31"/>
  <c r="B6" i="15" l="1"/>
  <c r="B9" i="15"/>
  <c r="B5" i="15"/>
  <c r="O17" i="28" l="1"/>
  <c r="O15" i="28"/>
  <c r="O20" i="28"/>
  <c r="O10" i="28"/>
  <c r="G18" i="28"/>
  <c r="G8" i="28"/>
  <c r="G13" i="28"/>
  <c r="I20" i="28"/>
  <c r="J20" i="28" s="1"/>
  <c r="H20" i="28"/>
  <c r="G20" i="28"/>
  <c r="I18" i="28"/>
  <c r="J18" i="28" s="1"/>
  <c r="H18" i="28"/>
  <c r="J17" i="28"/>
  <c r="I10" i="28"/>
  <c r="J10" i="28" s="1"/>
  <c r="H10" i="28"/>
  <c r="G10" i="28"/>
  <c r="O12" i="28" l="1"/>
  <c r="O18" i="28"/>
  <c r="O13" i="28"/>
  <c r="O8" i="28"/>
  <c r="O7" i="28"/>
  <c r="J12" i="28" l="1"/>
  <c r="J7" i="28"/>
  <c r="I15" i="28"/>
  <c r="J15" i="28" s="1"/>
  <c r="H15" i="28"/>
  <c r="G15" i="28"/>
  <c r="I13" i="28"/>
  <c r="J13" i="28" s="1"/>
  <c r="H13" i="28" l="1"/>
  <c r="I8" i="28"/>
  <c r="J8" i="28" s="1"/>
  <c r="H8" i="28"/>
  <c r="B7" i="15" l="1"/>
  <c r="D11" i="26" l="1"/>
  <c r="D10" i="26"/>
  <c r="D9" i="27" l="1"/>
  <c r="D9" i="26"/>
  <c r="K17" i="28" l="1"/>
  <c r="D18" i="27"/>
  <c r="I18" i="27" s="1"/>
  <c r="D20" i="27"/>
  <c r="I20" i="27" s="1"/>
  <c r="J20" i="27" s="1"/>
  <c r="M20" i="27" s="1"/>
  <c r="D19" i="27"/>
  <c r="I19" i="27" s="1"/>
  <c r="D17" i="27"/>
  <c r="I17" i="27" s="1"/>
  <c r="I9" i="26"/>
  <c r="J9" i="26" s="1"/>
  <c r="D10" i="25"/>
  <c r="I10" i="25" s="1"/>
  <c r="J10" i="25" s="1"/>
  <c r="D9" i="25"/>
  <c r="D8" i="25" l="1"/>
  <c r="F20" i="27"/>
  <c r="G20" i="27" s="1"/>
  <c r="E20" i="27"/>
  <c r="P17" i="28"/>
  <c r="Q17" i="28" s="1"/>
  <c r="M17" i="28"/>
  <c r="N17" i="28" s="1"/>
  <c r="L17" i="28"/>
  <c r="M25" i="27"/>
  <c r="J25" i="27" s="1"/>
  <c r="K20" i="27"/>
  <c r="L20" i="27"/>
  <c r="J18" i="27"/>
  <c r="E18" i="27"/>
  <c r="F18" i="27"/>
  <c r="G18" i="27" s="1"/>
  <c r="E17" i="27"/>
  <c r="F17" i="27"/>
  <c r="G17" i="27" s="1"/>
  <c r="J17" i="27"/>
  <c r="F19" i="27"/>
  <c r="G19" i="27" s="1"/>
  <c r="E19" i="27"/>
  <c r="J19" i="27"/>
  <c r="M9" i="26"/>
  <c r="L9" i="26"/>
  <c r="K9" i="26"/>
  <c r="E9" i="26"/>
  <c r="F9" i="26"/>
  <c r="G9" i="26" s="1"/>
  <c r="F9" i="25"/>
  <c r="G9" i="25" s="1"/>
  <c r="M10" i="25"/>
  <c r="L10" i="25"/>
  <c r="K10" i="25"/>
  <c r="F10" i="25"/>
  <c r="G10" i="25" s="1"/>
  <c r="I9" i="25"/>
  <c r="J9" i="25" s="1"/>
  <c r="E9" i="25"/>
  <c r="E10" i="25"/>
  <c r="I8" i="25" l="1"/>
  <c r="J8" i="25" s="1"/>
  <c r="E8" i="25"/>
  <c r="S17" i="28"/>
  <c r="R17" i="28"/>
  <c r="T17" i="28"/>
  <c r="L25" i="27"/>
  <c r="K25" i="27"/>
  <c r="I25" i="27"/>
  <c r="K17" i="27"/>
  <c r="M17" i="27"/>
  <c r="L17" i="27"/>
  <c r="L19" i="27"/>
  <c r="K19" i="27"/>
  <c r="M19" i="27"/>
  <c r="M18" i="27"/>
  <c r="L18" i="27"/>
  <c r="K18" i="27"/>
  <c r="M9" i="25"/>
  <c r="L9" i="25"/>
  <c r="K9" i="25"/>
  <c r="F43" i="21"/>
  <c r="H43" i="21" s="1"/>
  <c r="I43" i="21" s="1"/>
  <c r="F42" i="21"/>
  <c r="H42" i="21" s="1"/>
  <c r="I42" i="21" s="1"/>
  <c r="F41" i="21"/>
  <c r="G41" i="21" s="1"/>
  <c r="J41" i="21" s="1"/>
  <c r="F38" i="21"/>
  <c r="H38" i="21" s="1"/>
  <c r="I38" i="21" s="1"/>
  <c r="F37" i="21"/>
  <c r="G37" i="21" s="1"/>
  <c r="J37" i="21" s="1"/>
  <c r="F36" i="21"/>
  <c r="H36" i="21" s="1"/>
  <c r="I36" i="21" s="1"/>
  <c r="F33" i="21"/>
  <c r="H33" i="21" s="1"/>
  <c r="I33" i="21" s="1"/>
  <c r="F32" i="21"/>
  <c r="H32" i="21" s="1"/>
  <c r="I32" i="21" s="1"/>
  <c r="F31" i="21"/>
  <c r="G31" i="21" s="1"/>
  <c r="J31" i="21" s="1"/>
  <c r="F24" i="21"/>
  <c r="G24" i="21" s="1"/>
  <c r="J24" i="21" s="1"/>
  <c r="F23" i="21"/>
  <c r="H23" i="21" s="1"/>
  <c r="I23" i="21" s="1"/>
  <c r="F22" i="21"/>
  <c r="H22" i="21" s="1"/>
  <c r="I22" i="21" s="1"/>
  <c r="F19" i="21"/>
  <c r="G19" i="21" s="1"/>
  <c r="J19" i="21" s="1"/>
  <c r="F18" i="21"/>
  <c r="H18" i="21" s="1"/>
  <c r="I18" i="21" s="1"/>
  <c r="F17" i="21"/>
  <c r="H17" i="21" s="1"/>
  <c r="I17" i="21" s="1"/>
  <c r="F14" i="21"/>
  <c r="G14" i="21" s="1"/>
  <c r="J14" i="21" s="1"/>
  <c r="K14" i="21" s="1"/>
  <c r="F12" i="21"/>
  <c r="H12" i="21" s="1"/>
  <c r="I12" i="21" s="1"/>
  <c r="E14" i="20"/>
  <c r="E12" i="20"/>
  <c r="E13" i="20"/>
  <c r="F45" i="21"/>
  <c r="H45" i="21" s="1"/>
  <c r="I45" i="21" s="1"/>
  <c r="F44" i="21"/>
  <c r="G44" i="21" s="1"/>
  <c r="J44" i="21" s="1"/>
  <c r="F40" i="21"/>
  <c r="H40" i="21" s="1"/>
  <c r="I40" i="21" s="1"/>
  <c r="F39" i="21"/>
  <c r="H39" i="21" s="1"/>
  <c r="I39" i="21" s="1"/>
  <c r="F35" i="21"/>
  <c r="H35" i="21" s="1"/>
  <c r="I35" i="21" s="1"/>
  <c r="F34" i="21"/>
  <c r="G34" i="21" s="1"/>
  <c r="J34" i="21" s="1"/>
  <c r="F30" i="21"/>
  <c r="H30" i="21" s="1"/>
  <c r="I30" i="21" s="1"/>
  <c r="F29" i="21"/>
  <c r="H29" i="21" s="1"/>
  <c r="I29" i="21" s="1"/>
  <c r="F26" i="21"/>
  <c r="G26" i="21" s="1"/>
  <c r="J26" i="21" s="1"/>
  <c r="F25" i="21"/>
  <c r="G25" i="21" s="1"/>
  <c r="J25" i="21" s="1"/>
  <c r="F21" i="21"/>
  <c r="G21" i="21" s="1"/>
  <c r="J21" i="21" s="1"/>
  <c r="F20" i="21"/>
  <c r="G20" i="21" s="1"/>
  <c r="J20" i="21" s="1"/>
  <c r="F16" i="21"/>
  <c r="H16" i="21" s="1"/>
  <c r="I16" i="21" s="1"/>
  <c r="F15" i="21"/>
  <c r="H15" i="21" s="1"/>
  <c r="I15" i="21" s="1"/>
  <c r="F10" i="21"/>
  <c r="H10" i="21" s="1"/>
  <c r="I10" i="21" s="1"/>
  <c r="F11" i="21"/>
  <c r="G11" i="21" s="1"/>
  <c r="J11" i="21" s="1"/>
  <c r="F13" i="21"/>
  <c r="G13" i="21" s="1"/>
  <c r="J13" i="21" s="1"/>
  <c r="M8" i="25" l="1"/>
  <c r="L8" i="25"/>
  <c r="K8" i="25"/>
  <c r="E25" i="27"/>
  <c r="D25" i="27" s="1"/>
  <c r="T18" i="28"/>
  <c r="Q18" i="28" s="1"/>
  <c r="T20" i="28"/>
  <c r="Q20" i="28" s="1"/>
  <c r="D32" i="27"/>
  <c r="D31" i="27"/>
  <c r="D10" i="27"/>
  <c r="M24" i="27"/>
  <c r="J24" i="27" s="1"/>
  <c r="I24" i="27" s="1"/>
  <c r="E24" i="27" s="1"/>
  <c r="M23" i="27"/>
  <c r="J23" i="27" s="1"/>
  <c r="M22" i="27"/>
  <c r="J22" i="27" s="1"/>
  <c r="D32" i="26"/>
  <c r="D34" i="26"/>
  <c r="D33" i="26"/>
  <c r="D14" i="25"/>
  <c r="D13" i="25"/>
  <c r="D39" i="25"/>
  <c r="D38" i="25"/>
  <c r="D34" i="25"/>
  <c r="D35" i="25"/>
  <c r="G15" i="21"/>
  <c r="J15" i="21" s="1"/>
  <c r="K15" i="21" s="1"/>
  <c r="H41" i="21"/>
  <c r="I41" i="21" s="1"/>
  <c r="H31" i="21"/>
  <c r="I31" i="21" s="1"/>
  <c r="H37" i="21"/>
  <c r="I37" i="21" s="1"/>
  <c r="G35" i="21"/>
  <c r="J35" i="21" s="1"/>
  <c r="L35" i="21" s="1"/>
  <c r="G38" i="21"/>
  <c r="J38" i="21" s="1"/>
  <c r="L38" i="21" s="1"/>
  <c r="G45" i="21"/>
  <c r="J45" i="21" s="1"/>
  <c r="L45" i="21" s="1"/>
  <c r="H34" i="21"/>
  <c r="I34" i="21" s="1"/>
  <c r="H44" i="21"/>
  <c r="I44" i="21" s="1"/>
  <c r="L34" i="21"/>
  <c r="K34" i="21"/>
  <c r="L44" i="21"/>
  <c r="K44" i="21"/>
  <c r="L37" i="21"/>
  <c r="K37" i="21"/>
  <c r="L41" i="21"/>
  <c r="K41" i="21"/>
  <c r="L31" i="21"/>
  <c r="K31" i="21"/>
  <c r="G29" i="21"/>
  <c r="J29" i="21" s="1"/>
  <c r="G32" i="21"/>
  <c r="J32" i="21" s="1"/>
  <c r="G36" i="21"/>
  <c r="J36" i="21" s="1"/>
  <c r="G39" i="21"/>
  <c r="J39" i="21" s="1"/>
  <c r="G42" i="21"/>
  <c r="J42" i="21" s="1"/>
  <c r="G30" i="21"/>
  <c r="J30" i="21" s="1"/>
  <c r="G33" i="21"/>
  <c r="J33" i="21" s="1"/>
  <c r="G40" i="21"/>
  <c r="J40" i="21" s="1"/>
  <c r="G43" i="21"/>
  <c r="J43" i="21" s="1"/>
  <c r="L26" i="21"/>
  <c r="K26" i="21"/>
  <c r="H26" i="21"/>
  <c r="I26" i="21" s="1"/>
  <c r="L25" i="21"/>
  <c r="K25" i="21"/>
  <c r="H25" i="21"/>
  <c r="I25" i="21" s="1"/>
  <c r="H14" i="21"/>
  <c r="I14" i="21" s="1"/>
  <c r="G18" i="21"/>
  <c r="J18" i="21" s="1"/>
  <c r="K18" i="21" s="1"/>
  <c r="H20" i="21"/>
  <c r="I20" i="21" s="1"/>
  <c r="G12" i="21"/>
  <c r="J12" i="21" s="1"/>
  <c r="L12" i="21" s="1"/>
  <c r="H13" i="21"/>
  <c r="I13" i="21" s="1"/>
  <c r="L21" i="21"/>
  <c r="K21" i="21"/>
  <c r="L20" i="21"/>
  <c r="K20" i="21"/>
  <c r="L24" i="21"/>
  <c r="K24" i="21"/>
  <c r="H21" i="21"/>
  <c r="I21" i="21" s="1"/>
  <c r="H24" i="21"/>
  <c r="I24" i="21" s="1"/>
  <c r="G22" i="21"/>
  <c r="J22" i="21" s="1"/>
  <c r="G23" i="21"/>
  <c r="J23" i="21" s="1"/>
  <c r="G10" i="21"/>
  <c r="J10" i="21" s="1"/>
  <c r="L10" i="21" s="1"/>
  <c r="H11" i="21"/>
  <c r="I11" i="21" s="1"/>
  <c r="L19" i="21"/>
  <c r="K19" i="21"/>
  <c r="H19" i="21"/>
  <c r="I19" i="21" s="1"/>
  <c r="G17" i="21"/>
  <c r="J17" i="21" s="1"/>
  <c r="G16" i="21"/>
  <c r="J16" i="21" s="1"/>
  <c r="L13" i="21"/>
  <c r="K13" i="21"/>
  <c r="K11" i="21"/>
  <c r="L11" i="21"/>
  <c r="L14" i="21"/>
  <c r="F25" i="27" l="1"/>
  <c r="G25" i="27" s="1"/>
  <c r="L15" i="21"/>
  <c r="O15" i="21" s="1"/>
  <c r="E10" i="27"/>
  <c r="D8" i="27"/>
  <c r="F10" i="27"/>
  <c r="G10" i="27" s="1"/>
  <c r="I10" i="27"/>
  <c r="J10" i="27" s="1"/>
  <c r="E32" i="27"/>
  <c r="F32" i="27"/>
  <c r="G32" i="27" s="1"/>
  <c r="I32" i="27"/>
  <c r="J32" i="27" s="1"/>
  <c r="R20" i="28"/>
  <c r="P20" i="28"/>
  <c r="L20" i="28" s="1"/>
  <c r="S20" i="28"/>
  <c r="D41" i="27"/>
  <c r="D40" i="27"/>
  <c r="D39" i="27"/>
  <c r="D38" i="27"/>
  <c r="F31" i="27"/>
  <c r="G31" i="27" s="1"/>
  <c r="I31" i="27"/>
  <c r="J31" i="27" s="1"/>
  <c r="D30" i="27"/>
  <c r="E31" i="27"/>
  <c r="S18" i="28"/>
  <c r="R18" i="28"/>
  <c r="P18" i="28"/>
  <c r="L18" i="28" s="1"/>
  <c r="I22" i="27"/>
  <c r="E22" i="27" s="1"/>
  <c r="D22" i="27" s="1"/>
  <c r="L22" i="27"/>
  <c r="K22" i="27"/>
  <c r="K23" i="27"/>
  <c r="L23" i="27"/>
  <c r="I23" i="27"/>
  <c r="D31" i="26"/>
  <c r="K24" i="27"/>
  <c r="D43" i="26"/>
  <c r="I43" i="26" s="1"/>
  <c r="D41" i="26"/>
  <c r="I41" i="26" s="1"/>
  <c r="D42" i="26"/>
  <c r="I42" i="26" s="1"/>
  <c r="D40" i="26"/>
  <c r="I40" i="26" s="1"/>
  <c r="L24" i="27"/>
  <c r="D37" i="25"/>
  <c r="D12" i="25"/>
  <c r="F24" i="27"/>
  <c r="G24" i="27" s="1"/>
  <c r="D24" i="27"/>
  <c r="I11" i="26"/>
  <c r="J11" i="26" s="1"/>
  <c r="D8" i="26"/>
  <c r="F11" i="26"/>
  <c r="G11" i="26" s="1"/>
  <c r="E11" i="26"/>
  <c r="I10" i="26"/>
  <c r="J10" i="26" s="1"/>
  <c r="E10" i="26"/>
  <c r="F10" i="26"/>
  <c r="G10" i="26" s="1"/>
  <c r="D33" i="25"/>
  <c r="I34" i="26"/>
  <c r="J34" i="26" s="1"/>
  <c r="F34" i="26"/>
  <c r="G34" i="26" s="1"/>
  <c r="E34" i="26"/>
  <c r="I32" i="26"/>
  <c r="J32" i="26" s="1"/>
  <c r="F32" i="26"/>
  <c r="G32" i="26" s="1"/>
  <c r="E32" i="26"/>
  <c r="I35" i="25"/>
  <c r="J35" i="25" s="1"/>
  <c r="F35" i="25"/>
  <c r="G35" i="25" s="1"/>
  <c r="E35" i="25"/>
  <c r="I38" i="25"/>
  <c r="J38" i="25" s="1"/>
  <c r="F38" i="25"/>
  <c r="G38" i="25" s="1"/>
  <c r="E38" i="25"/>
  <c r="I39" i="25"/>
  <c r="J39" i="25" s="1"/>
  <c r="E39" i="25"/>
  <c r="F39" i="25"/>
  <c r="G39" i="25" s="1"/>
  <c r="F13" i="25"/>
  <c r="G13" i="25" s="1"/>
  <c r="I13" i="25"/>
  <c r="J13" i="25" s="1"/>
  <c r="E13" i="25"/>
  <c r="E14" i="25"/>
  <c r="I14" i="25"/>
  <c r="J14" i="25" s="1"/>
  <c r="F14" i="25"/>
  <c r="G14" i="25" s="1"/>
  <c r="I34" i="25"/>
  <c r="J34" i="25" s="1"/>
  <c r="F34" i="25"/>
  <c r="G34" i="25" s="1"/>
  <c r="E34" i="25"/>
  <c r="K35" i="21"/>
  <c r="K12" i="21"/>
  <c r="K45" i="21"/>
  <c r="K38" i="21"/>
  <c r="L39" i="21"/>
  <c r="K39" i="21"/>
  <c r="L36" i="21"/>
  <c r="K36" i="21"/>
  <c r="O41" i="21"/>
  <c r="N41" i="21"/>
  <c r="M41" i="21"/>
  <c r="O34" i="21"/>
  <c r="N34" i="21"/>
  <c r="M34" i="21"/>
  <c r="K43" i="21"/>
  <c r="L43" i="21"/>
  <c r="K40" i="21"/>
  <c r="L40" i="21"/>
  <c r="O37" i="21"/>
  <c r="N37" i="21"/>
  <c r="M37" i="21"/>
  <c r="K33" i="21"/>
  <c r="L33" i="21"/>
  <c r="O31" i="21"/>
  <c r="N31" i="21"/>
  <c r="M31" i="21"/>
  <c r="N35" i="21"/>
  <c r="O35" i="21"/>
  <c r="M35" i="21"/>
  <c r="L32" i="21"/>
  <c r="K32" i="21"/>
  <c r="L29" i="21"/>
  <c r="K29" i="21"/>
  <c r="L30" i="21"/>
  <c r="K30" i="21"/>
  <c r="L42" i="21"/>
  <c r="K42" i="21"/>
  <c r="N45" i="21"/>
  <c r="M45" i="21"/>
  <c r="O45" i="21"/>
  <c r="O44" i="21"/>
  <c r="N44" i="21"/>
  <c r="M44" i="21"/>
  <c r="N38" i="21"/>
  <c r="M38" i="21"/>
  <c r="O38" i="21"/>
  <c r="N26" i="21"/>
  <c r="M26" i="21"/>
  <c r="O26" i="21"/>
  <c r="O25" i="21"/>
  <c r="N25" i="21"/>
  <c r="M25" i="21"/>
  <c r="L18" i="21"/>
  <c r="M18" i="21" s="1"/>
  <c r="K10" i="21"/>
  <c r="L22" i="21"/>
  <c r="K22" i="21"/>
  <c r="O21" i="21"/>
  <c r="N21" i="21"/>
  <c r="M21" i="21"/>
  <c r="O24" i="21"/>
  <c r="N24" i="21"/>
  <c r="M24" i="21"/>
  <c r="K23" i="21"/>
  <c r="L23" i="21"/>
  <c r="O20" i="21"/>
  <c r="N20" i="21"/>
  <c r="M20" i="21"/>
  <c r="L16" i="21"/>
  <c r="K16" i="21"/>
  <c r="O19" i="21"/>
  <c r="N19" i="21"/>
  <c r="M19" i="21"/>
  <c r="K17" i="21"/>
  <c r="L17" i="21"/>
  <c r="N12" i="21"/>
  <c r="O12" i="21"/>
  <c r="M12" i="21"/>
  <c r="O11" i="21"/>
  <c r="M11" i="21"/>
  <c r="N11" i="21"/>
  <c r="M14" i="21"/>
  <c r="N14" i="21"/>
  <c r="O14" i="21"/>
  <c r="M13" i="21"/>
  <c r="N13" i="21"/>
  <c r="O13" i="21"/>
  <c r="O10" i="21"/>
  <c r="N10" i="21"/>
  <c r="M10" i="21"/>
  <c r="F22" i="27" l="1"/>
  <c r="G22" i="27" s="1"/>
  <c r="N15" i="21"/>
  <c r="M15" i="21"/>
  <c r="L32" i="27"/>
  <c r="M32" i="27"/>
  <c r="K32" i="27"/>
  <c r="E38" i="27"/>
  <c r="F38" i="27"/>
  <c r="G38" i="27" s="1"/>
  <c r="I38" i="27"/>
  <c r="J38" i="27" s="1"/>
  <c r="M18" i="28"/>
  <c r="N18" i="28" s="1"/>
  <c r="K18" i="28"/>
  <c r="E39" i="27"/>
  <c r="F39" i="27"/>
  <c r="G39" i="27" s="1"/>
  <c r="I39" i="27"/>
  <c r="J39" i="27" s="1"/>
  <c r="E40" i="27"/>
  <c r="I40" i="27"/>
  <c r="J40" i="27" s="1"/>
  <c r="F40" i="27"/>
  <c r="G40" i="27" s="1"/>
  <c r="L10" i="27"/>
  <c r="M10" i="27"/>
  <c r="K10" i="27"/>
  <c r="E41" i="27"/>
  <c r="I41" i="27"/>
  <c r="J41" i="27" s="1"/>
  <c r="F41" i="27"/>
  <c r="G41" i="27" s="1"/>
  <c r="E23" i="27"/>
  <c r="D23" i="27" s="1"/>
  <c r="F8" i="27"/>
  <c r="G8" i="27" s="1"/>
  <c r="E8" i="27"/>
  <c r="I8" i="27"/>
  <c r="J8" i="27" s="1"/>
  <c r="E30" i="27"/>
  <c r="I30" i="27"/>
  <c r="J30" i="27" s="1"/>
  <c r="F30" i="27"/>
  <c r="G30" i="27" s="1"/>
  <c r="K20" i="28"/>
  <c r="M20" i="28"/>
  <c r="N20" i="28" s="1"/>
  <c r="L31" i="27"/>
  <c r="K31" i="27"/>
  <c r="M31" i="27"/>
  <c r="L10" i="26"/>
  <c r="K10" i="26"/>
  <c r="M10" i="26"/>
  <c r="K11" i="26"/>
  <c r="L11" i="26"/>
  <c r="M11" i="26"/>
  <c r="M32" i="26"/>
  <c r="K32" i="26"/>
  <c r="L32" i="26"/>
  <c r="L34" i="26"/>
  <c r="K34" i="26"/>
  <c r="M34" i="26"/>
  <c r="L14" i="25"/>
  <c r="K14" i="25"/>
  <c r="M14" i="25"/>
  <c r="L13" i="25"/>
  <c r="K13" i="25"/>
  <c r="M13" i="25"/>
  <c r="M39" i="25"/>
  <c r="L39" i="25"/>
  <c r="K39" i="25"/>
  <c r="M38" i="25"/>
  <c r="L38" i="25"/>
  <c r="K38" i="25"/>
  <c r="M34" i="25"/>
  <c r="L34" i="25"/>
  <c r="K34" i="25"/>
  <c r="L35" i="25"/>
  <c r="K35" i="25"/>
  <c r="M35" i="25"/>
  <c r="N18" i="21"/>
  <c r="O18" i="21"/>
  <c r="M42" i="21"/>
  <c r="O42" i="21"/>
  <c r="N42" i="21"/>
  <c r="M32" i="21"/>
  <c r="N32" i="21"/>
  <c r="O32" i="21"/>
  <c r="O43" i="21"/>
  <c r="N43" i="21"/>
  <c r="M43" i="21"/>
  <c r="N30" i="21"/>
  <c r="O30" i="21"/>
  <c r="M30" i="21"/>
  <c r="O33" i="21"/>
  <c r="N33" i="21"/>
  <c r="M33" i="21"/>
  <c r="M36" i="21"/>
  <c r="O36" i="21"/>
  <c r="N36" i="21"/>
  <c r="O40" i="21"/>
  <c r="N40" i="21"/>
  <c r="M40" i="21"/>
  <c r="N29" i="21"/>
  <c r="M29" i="21"/>
  <c r="O29" i="21"/>
  <c r="O39" i="21"/>
  <c r="N39" i="21"/>
  <c r="M39" i="21"/>
  <c r="O23" i="21"/>
  <c r="N23" i="21"/>
  <c r="M23" i="21"/>
  <c r="M22" i="21"/>
  <c r="O22" i="21"/>
  <c r="N22" i="21"/>
  <c r="M17" i="21"/>
  <c r="O17" i="21"/>
  <c r="N17" i="21"/>
  <c r="N16" i="21"/>
  <c r="O16" i="21"/>
  <c r="M16" i="21"/>
  <c r="F23" i="27" l="1"/>
  <c r="G23" i="27" s="1"/>
  <c r="L38" i="27"/>
  <c r="M38" i="27"/>
  <c r="M43" i="27" s="1"/>
  <c r="J43" i="27" s="1"/>
  <c r="K38" i="27"/>
  <c r="M30" i="27"/>
  <c r="L30" i="27"/>
  <c r="K30" i="27"/>
  <c r="K41" i="27"/>
  <c r="L41" i="27"/>
  <c r="M41" i="27"/>
  <c r="M46" i="27" s="1"/>
  <c r="J46" i="27" s="1"/>
  <c r="K39" i="27"/>
  <c r="M39" i="27"/>
  <c r="M44" i="27" s="1"/>
  <c r="J44" i="27" s="1"/>
  <c r="L39" i="27"/>
  <c r="L40" i="27"/>
  <c r="M40" i="27"/>
  <c r="M45" i="27" s="1"/>
  <c r="J45" i="27" s="1"/>
  <c r="K40" i="27"/>
  <c r="L8" i="27"/>
  <c r="M8" i="27"/>
  <c r="K8" i="27"/>
  <c r="E17" i="20"/>
  <c r="F12" i="20"/>
  <c r="G11" i="20"/>
  <c r="G9" i="20"/>
  <c r="G16" i="20"/>
  <c r="F10" i="20"/>
  <c r="D15" i="25" l="1"/>
  <c r="D73" i="25"/>
  <c r="D69" i="25"/>
  <c r="D74" i="25"/>
  <c r="D70" i="25"/>
  <c r="L45" i="27"/>
  <c r="K45" i="27"/>
  <c r="I45" i="27"/>
  <c r="E45" i="27" s="1"/>
  <c r="K44" i="27"/>
  <c r="I44" i="27"/>
  <c r="L44" i="27"/>
  <c r="L43" i="27"/>
  <c r="I43" i="27"/>
  <c r="K43" i="27"/>
  <c r="I46" i="27"/>
  <c r="E46" i="27" s="1"/>
  <c r="L46" i="27"/>
  <c r="K46" i="27"/>
  <c r="D35" i="27"/>
  <c r="D34" i="27"/>
  <c r="D13" i="27"/>
  <c r="D12" i="27"/>
  <c r="D14" i="26"/>
  <c r="K12" i="28" s="1"/>
  <c r="D37" i="26"/>
  <c r="D36" i="26"/>
  <c r="D15" i="26"/>
  <c r="G17" i="20"/>
  <c r="D41" i="25"/>
  <c r="D42" i="25"/>
  <c r="D16" i="25"/>
  <c r="F13" i="20"/>
  <c r="F17" i="20"/>
  <c r="F14" i="20"/>
  <c r="G12" i="20"/>
  <c r="G10" i="20"/>
  <c r="F11" i="20"/>
  <c r="F16" i="20"/>
  <c r="F9" i="20"/>
  <c r="D20" i="25" l="1"/>
  <c r="E20" i="25" s="1"/>
  <c r="I20" i="25" s="1"/>
  <c r="J20" i="25" s="1"/>
  <c r="D22" i="25"/>
  <c r="I22" i="25" s="1"/>
  <c r="D21" i="25"/>
  <c r="I21" i="25" s="1"/>
  <c r="I70" i="25"/>
  <c r="J70" i="25" s="1"/>
  <c r="E70" i="25"/>
  <c r="F70" i="25"/>
  <c r="G70" i="25" s="1"/>
  <c r="E74" i="25"/>
  <c r="F74" i="25"/>
  <c r="G74" i="25" s="1"/>
  <c r="I74" i="25"/>
  <c r="J74" i="25" s="1"/>
  <c r="E69" i="25"/>
  <c r="I69" i="25"/>
  <c r="J69" i="25" s="1"/>
  <c r="D71" i="25"/>
  <c r="F69" i="25"/>
  <c r="G69" i="25" s="1"/>
  <c r="D75" i="25"/>
  <c r="E73" i="25"/>
  <c r="I73" i="25"/>
  <c r="J73" i="25" s="1"/>
  <c r="F73" i="25"/>
  <c r="G73" i="25" s="1"/>
  <c r="D47" i="25"/>
  <c r="I47" i="25" s="1"/>
  <c r="D46" i="25"/>
  <c r="I46" i="25" s="1"/>
  <c r="D45" i="25"/>
  <c r="I45" i="25" s="1"/>
  <c r="E44" i="27"/>
  <c r="D44" i="27" s="1"/>
  <c r="D45" i="27"/>
  <c r="F45" i="27"/>
  <c r="G45" i="27" s="1"/>
  <c r="E43" i="27"/>
  <c r="D43" i="27" s="1"/>
  <c r="D46" i="27"/>
  <c r="F46" i="27"/>
  <c r="G46" i="27" s="1"/>
  <c r="M12" i="28"/>
  <c r="N12" i="28" s="1"/>
  <c r="P12" i="28"/>
  <c r="Q12" i="28" s="1"/>
  <c r="L12" i="28"/>
  <c r="K7" i="28"/>
  <c r="D50" i="26"/>
  <c r="D28" i="26"/>
  <c r="D21" i="26"/>
  <c r="D18" i="26"/>
  <c r="I18" i="26" s="1"/>
  <c r="D20" i="26"/>
  <c r="I20" i="26" s="1"/>
  <c r="D19" i="26"/>
  <c r="I19" i="26" s="1"/>
  <c r="D27" i="27"/>
  <c r="I34" i="27"/>
  <c r="J34" i="27" s="1"/>
  <c r="D48" i="27"/>
  <c r="E34" i="27"/>
  <c r="F34" i="27"/>
  <c r="G34" i="27" s="1"/>
  <c r="I35" i="27"/>
  <c r="J35" i="27" s="1"/>
  <c r="E35" i="27"/>
  <c r="F35" i="27"/>
  <c r="G35" i="27" s="1"/>
  <c r="D55" i="25"/>
  <c r="D48" i="25"/>
  <c r="D30" i="25"/>
  <c r="D23" i="25"/>
  <c r="I12" i="27"/>
  <c r="J12" i="27" s="1"/>
  <c r="E12" i="27"/>
  <c r="F12" i="27"/>
  <c r="G12" i="27" s="1"/>
  <c r="I13" i="27"/>
  <c r="J13" i="27" s="1"/>
  <c r="E13" i="27"/>
  <c r="F13" i="27"/>
  <c r="G13" i="27" s="1"/>
  <c r="I15" i="26"/>
  <c r="J15" i="26" s="1"/>
  <c r="F15" i="26"/>
  <c r="G15" i="26" s="1"/>
  <c r="E15" i="26"/>
  <c r="E36" i="26"/>
  <c r="F36" i="26"/>
  <c r="G36" i="26" s="1"/>
  <c r="I36" i="26"/>
  <c r="J36" i="26" s="1"/>
  <c r="F37" i="26"/>
  <c r="G37" i="26" s="1"/>
  <c r="E37" i="26"/>
  <c r="I37" i="26"/>
  <c r="J37" i="26" s="1"/>
  <c r="I14" i="26"/>
  <c r="J14" i="26" s="1"/>
  <c r="F14" i="26"/>
  <c r="G14" i="26" s="1"/>
  <c r="E14" i="26"/>
  <c r="I16" i="25"/>
  <c r="J16" i="25" s="1"/>
  <c r="F16" i="25"/>
  <c r="G16" i="25" s="1"/>
  <c r="E16" i="25"/>
  <c r="F42" i="25"/>
  <c r="G42" i="25" s="1"/>
  <c r="E42" i="25"/>
  <c r="I42" i="25"/>
  <c r="J42" i="25" s="1"/>
  <c r="F41" i="25"/>
  <c r="G41" i="25" s="1"/>
  <c r="E41" i="25"/>
  <c r="I41" i="25"/>
  <c r="J41" i="25" s="1"/>
  <c r="I15" i="25"/>
  <c r="J15" i="25" s="1"/>
  <c r="F15" i="25"/>
  <c r="G15" i="25" s="1"/>
  <c r="E15" i="25"/>
  <c r="G13" i="20"/>
  <c r="G14" i="20"/>
  <c r="K73" i="25" l="1"/>
  <c r="M73" i="25"/>
  <c r="L73" i="25"/>
  <c r="F75" i="25"/>
  <c r="G75" i="25" s="1"/>
  <c r="I75" i="25"/>
  <c r="J75" i="25" s="1"/>
  <c r="E75" i="25"/>
  <c r="D77" i="25"/>
  <c r="I71" i="25"/>
  <c r="J71" i="25" s="1"/>
  <c r="F71" i="25"/>
  <c r="G71" i="25" s="1"/>
  <c r="E71" i="25"/>
  <c r="L70" i="25"/>
  <c r="K70" i="25"/>
  <c r="M70" i="25"/>
  <c r="M69" i="25"/>
  <c r="L69" i="25"/>
  <c r="K69" i="25"/>
  <c r="L74" i="25"/>
  <c r="M74" i="25"/>
  <c r="K74" i="25"/>
  <c r="D58" i="25"/>
  <c r="F43" i="27"/>
  <c r="G43" i="27" s="1"/>
  <c r="F44" i="27"/>
  <c r="G44" i="27" s="1"/>
  <c r="L7" i="28"/>
  <c r="P7" i="28"/>
  <c r="Q7" i="28" s="1"/>
  <c r="M7" i="28"/>
  <c r="N7" i="28" s="1"/>
  <c r="R12" i="28"/>
  <c r="S12" i="28"/>
  <c r="T12" i="28"/>
  <c r="D53" i="26"/>
  <c r="D52" i="27"/>
  <c r="D51" i="27"/>
  <c r="M34" i="27"/>
  <c r="K34" i="27"/>
  <c r="L34" i="27"/>
  <c r="F19" i="26"/>
  <c r="G19" i="26" s="1"/>
  <c r="J19" i="26"/>
  <c r="E19" i="26"/>
  <c r="J20" i="26"/>
  <c r="F20" i="26"/>
  <c r="G20" i="26" s="1"/>
  <c r="E20" i="26"/>
  <c r="M35" i="27"/>
  <c r="L35" i="27"/>
  <c r="K35" i="27"/>
  <c r="F21" i="26"/>
  <c r="G21" i="26" s="1"/>
  <c r="E21" i="26"/>
  <c r="I21" i="26"/>
  <c r="J21" i="26" s="1"/>
  <c r="D54" i="26"/>
  <c r="D59" i="25"/>
  <c r="I59" i="25" s="1"/>
  <c r="J59" i="25" s="1"/>
  <c r="K13" i="27"/>
  <c r="M13" i="27"/>
  <c r="L13" i="27"/>
  <c r="I9" i="27"/>
  <c r="J9" i="27" s="1"/>
  <c r="F9" i="27"/>
  <c r="G9" i="27" s="1"/>
  <c r="E9" i="27"/>
  <c r="L12" i="27"/>
  <c r="K12" i="27"/>
  <c r="M12" i="27"/>
  <c r="M14" i="26"/>
  <c r="L14" i="26"/>
  <c r="K14" i="26"/>
  <c r="M37" i="26"/>
  <c r="L37" i="26"/>
  <c r="K37" i="26"/>
  <c r="L15" i="26"/>
  <c r="K15" i="26"/>
  <c r="M15" i="26"/>
  <c r="E31" i="26"/>
  <c r="I31" i="26"/>
  <c r="J31" i="26" s="1"/>
  <c r="F31" i="26"/>
  <c r="G31" i="26" s="1"/>
  <c r="E18" i="26"/>
  <c r="F18" i="26"/>
  <c r="G18" i="26" s="1"/>
  <c r="J18" i="26"/>
  <c r="M36" i="26"/>
  <c r="K36" i="26"/>
  <c r="L36" i="26"/>
  <c r="I8" i="26"/>
  <c r="J8" i="26" s="1"/>
  <c r="E8" i="26"/>
  <c r="F8" i="26"/>
  <c r="G8" i="26" s="1"/>
  <c r="J45" i="25"/>
  <c r="F45" i="25"/>
  <c r="G45" i="25" s="1"/>
  <c r="E45" i="25"/>
  <c r="F48" i="25"/>
  <c r="G48" i="25" s="1"/>
  <c r="I48" i="25"/>
  <c r="J48" i="25" s="1"/>
  <c r="E48" i="25"/>
  <c r="J47" i="25"/>
  <c r="F47" i="25"/>
  <c r="G47" i="25" s="1"/>
  <c r="E47" i="25"/>
  <c r="J46" i="25"/>
  <c r="E46" i="25"/>
  <c r="F46" i="25"/>
  <c r="G46" i="25" s="1"/>
  <c r="I23" i="25"/>
  <c r="J23" i="25" s="1"/>
  <c r="E23" i="25"/>
  <c r="F23" i="25"/>
  <c r="G23" i="25" s="1"/>
  <c r="F22" i="25"/>
  <c r="G22" i="25" s="1"/>
  <c r="E22" i="25"/>
  <c r="J22" i="25"/>
  <c r="F21" i="25"/>
  <c r="G21" i="25" s="1"/>
  <c r="E21" i="25"/>
  <c r="J21" i="25"/>
  <c r="L16" i="25"/>
  <c r="M16" i="25"/>
  <c r="K16" i="25"/>
  <c r="E33" i="25"/>
  <c r="I33" i="25"/>
  <c r="J33" i="25" s="1"/>
  <c r="F33" i="25"/>
  <c r="G33" i="25" s="1"/>
  <c r="F8" i="25"/>
  <c r="G8" i="25" s="1"/>
  <c r="L42" i="25"/>
  <c r="K42" i="25"/>
  <c r="M42" i="25"/>
  <c r="M15" i="25"/>
  <c r="L15" i="25"/>
  <c r="K15" i="25"/>
  <c r="M41" i="25"/>
  <c r="L41" i="25"/>
  <c r="K41" i="25"/>
  <c r="E12" i="25"/>
  <c r="I12" i="25"/>
  <c r="J12" i="25" s="1"/>
  <c r="F12" i="25"/>
  <c r="G12" i="25" s="1"/>
  <c r="F37" i="25"/>
  <c r="G37" i="25" s="1"/>
  <c r="E37" i="25"/>
  <c r="I37" i="25"/>
  <c r="J37" i="25" s="1"/>
  <c r="D78" i="25" l="1"/>
  <c r="D79" i="25"/>
  <c r="M71" i="25"/>
  <c r="K71" i="25"/>
  <c r="L71" i="25"/>
  <c r="M75" i="25"/>
  <c r="L75" i="25"/>
  <c r="K75" i="25"/>
  <c r="I77" i="25"/>
  <c r="J77" i="25" s="1"/>
  <c r="F77" i="25"/>
  <c r="G77" i="25" s="1"/>
  <c r="E77" i="25"/>
  <c r="T13" i="28"/>
  <c r="Q13" i="28" s="1"/>
  <c r="T15" i="28"/>
  <c r="Q15" i="28" s="1"/>
  <c r="T7" i="28"/>
  <c r="R7" i="28"/>
  <c r="S7" i="28"/>
  <c r="L19" i="26"/>
  <c r="M19" i="26"/>
  <c r="K19" i="26"/>
  <c r="I51" i="27"/>
  <c r="J51" i="27" s="1"/>
  <c r="E51" i="27"/>
  <c r="F51" i="27"/>
  <c r="G51" i="27" s="1"/>
  <c r="M21" i="26"/>
  <c r="L21" i="26"/>
  <c r="K21" i="26"/>
  <c r="L20" i="26"/>
  <c r="M20" i="26"/>
  <c r="K20" i="26"/>
  <c r="I52" i="27"/>
  <c r="J52" i="27" s="1"/>
  <c r="F52" i="27"/>
  <c r="G52" i="27" s="1"/>
  <c r="E52" i="27"/>
  <c r="E59" i="25"/>
  <c r="F59" i="25"/>
  <c r="G59" i="25" s="1"/>
  <c r="M59" i="25"/>
  <c r="M61" i="25" s="1"/>
  <c r="J61" i="25" s="1"/>
  <c r="K59" i="25"/>
  <c r="L59" i="25"/>
  <c r="F58" i="25"/>
  <c r="G58" i="25" s="1"/>
  <c r="I58" i="25"/>
  <c r="J58" i="25" s="1"/>
  <c r="E58" i="25"/>
  <c r="M9" i="27"/>
  <c r="K9" i="27"/>
  <c r="L9" i="27"/>
  <c r="J42" i="26"/>
  <c r="E42" i="26"/>
  <c r="F42" i="26"/>
  <c r="G42" i="26" s="1"/>
  <c r="J41" i="26"/>
  <c r="F41" i="26"/>
  <c r="G41" i="26" s="1"/>
  <c r="E41" i="26"/>
  <c r="J40" i="26"/>
  <c r="F40" i="26"/>
  <c r="G40" i="26" s="1"/>
  <c r="E40" i="26"/>
  <c r="J43" i="26"/>
  <c r="E43" i="26"/>
  <c r="F43" i="26"/>
  <c r="G43" i="26" s="1"/>
  <c r="M18" i="26"/>
  <c r="K18" i="26"/>
  <c r="L18" i="26"/>
  <c r="K8" i="26"/>
  <c r="L8" i="26"/>
  <c r="M8" i="26"/>
  <c r="L31" i="26"/>
  <c r="M31" i="26"/>
  <c r="K31" i="26"/>
  <c r="K47" i="25"/>
  <c r="M47" i="25"/>
  <c r="M52" i="25" s="1"/>
  <c r="J52" i="25" s="1"/>
  <c r="L47" i="25"/>
  <c r="K45" i="25"/>
  <c r="M45" i="25"/>
  <c r="M50" i="25" s="1"/>
  <c r="J50" i="25" s="1"/>
  <c r="I50" i="25" s="1"/>
  <c r="E50" i="25" s="1"/>
  <c r="L45" i="25"/>
  <c r="M48" i="25"/>
  <c r="M53" i="25" s="1"/>
  <c r="J53" i="25" s="1"/>
  <c r="L48" i="25"/>
  <c r="K48" i="25"/>
  <c r="M46" i="25"/>
  <c r="M51" i="25" s="1"/>
  <c r="J51" i="25" s="1"/>
  <c r="L46" i="25"/>
  <c r="K46" i="25"/>
  <c r="L23" i="25"/>
  <c r="K23" i="25"/>
  <c r="M23" i="25"/>
  <c r="M28" i="25" s="1"/>
  <c r="J28" i="25" s="1"/>
  <c r="M21" i="25"/>
  <c r="M26" i="25" s="1"/>
  <c r="J26" i="25" s="1"/>
  <c r="I26" i="25" s="1"/>
  <c r="E26" i="25" s="1"/>
  <c r="K21" i="25"/>
  <c r="L21" i="25"/>
  <c r="L22" i="25"/>
  <c r="M22" i="25"/>
  <c r="M27" i="25" s="1"/>
  <c r="J27" i="25" s="1"/>
  <c r="I27" i="25" s="1"/>
  <c r="E27" i="25" s="1"/>
  <c r="K22" i="25"/>
  <c r="M33" i="25"/>
  <c r="L33" i="25"/>
  <c r="K33" i="25"/>
  <c r="K37" i="25"/>
  <c r="M37" i="25"/>
  <c r="L37" i="25"/>
  <c r="M12" i="25"/>
  <c r="L12" i="25"/>
  <c r="K12" i="25"/>
  <c r="M20" i="25"/>
  <c r="M25" i="25" s="1"/>
  <c r="J25" i="25" s="1"/>
  <c r="I25" i="25" s="1"/>
  <c r="E25" i="25" s="1"/>
  <c r="F20" i="25"/>
  <c r="G20" i="25" s="1"/>
  <c r="I78" i="25" l="1"/>
  <c r="J78" i="25" s="1"/>
  <c r="F78" i="25"/>
  <c r="G78" i="25" s="1"/>
  <c r="E78" i="25"/>
  <c r="I79" i="25"/>
  <c r="J79" i="25" s="1"/>
  <c r="F79" i="25"/>
  <c r="G79" i="25" s="1"/>
  <c r="E79" i="25"/>
  <c r="K77" i="25"/>
  <c r="L77" i="25"/>
  <c r="M77" i="25"/>
  <c r="T10" i="28"/>
  <c r="Q10" i="28" s="1"/>
  <c r="T8" i="28"/>
  <c r="Q8" i="28" s="1"/>
  <c r="P15" i="28"/>
  <c r="L15" i="28" s="1"/>
  <c r="S15" i="28"/>
  <c r="R15" i="28"/>
  <c r="S13" i="28"/>
  <c r="R13" i="28"/>
  <c r="P13" i="28"/>
  <c r="L13" i="28" s="1"/>
  <c r="M26" i="26"/>
  <c r="J26" i="26" s="1"/>
  <c r="M52" i="27"/>
  <c r="L52" i="27"/>
  <c r="K52" i="27"/>
  <c r="L51" i="27"/>
  <c r="K51" i="27"/>
  <c r="M51" i="27"/>
  <c r="M23" i="26"/>
  <c r="J23" i="26" s="1"/>
  <c r="I23" i="26" s="1"/>
  <c r="E23" i="26" s="1"/>
  <c r="M25" i="26"/>
  <c r="J25" i="26" s="1"/>
  <c r="M24" i="26"/>
  <c r="J24" i="26" s="1"/>
  <c r="L61" i="25"/>
  <c r="K61" i="25"/>
  <c r="I61" i="25"/>
  <c r="E61" i="25" s="1"/>
  <c r="M58" i="25"/>
  <c r="M60" i="25" s="1"/>
  <c r="J60" i="25" s="1"/>
  <c r="I60" i="25" s="1"/>
  <c r="L58" i="25"/>
  <c r="K58" i="25"/>
  <c r="M40" i="26"/>
  <c r="L40" i="26"/>
  <c r="K40" i="26"/>
  <c r="K41" i="26"/>
  <c r="M41" i="26"/>
  <c r="L41" i="26"/>
  <c r="L43" i="26"/>
  <c r="K43" i="26"/>
  <c r="M43" i="26"/>
  <c r="M42" i="26"/>
  <c r="L42" i="26"/>
  <c r="K42" i="26"/>
  <c r="I53" i="25"/>
  <c r="E53" i="25" s="1"/>
  <c r="K53" i="25"/>
  <c r="L53" i="25"/>
  <c r="K50" i="25"/>
  <c r="L50" i="25"/>
  <c r="L51" i="25"/>
  <c r="K51" i="25"/>
  <c r="I51" i="25"/>
  <c r="E51" i="25" s="1"/>
  <c r="I52" i="25"/>
  <c r="E52" i="25" s="1"/>
  <c r="L52" i="25"/>
  <c r="K52" i="25"/>
  <c r="L28" i="25"/>
  <c r="K28" i="25"/>
  <c r="I28" i="25"/>
  <c r="E28" i="25" s="1"/>
  <c r="F25" i="25"/>
  <c r="G25" i="25" s="1"/>
  <c r="D25" i="25"/>
  <c r="D27" i="25"/>
  <c r="F27" i="25"/>
  <c r="G27" i="25" s="1"/>
  <c r="F26" i="25"/>
  <c r="G26" i="25" s="1"/>
  <c r="D26" i="25"/>
  <c r="L25" i="25"/>
  <c r="K25" i="25"/>
  <c r="L27" i="25"/>
  <c r="K27" i="25"/>
  <c r="K26" i="25"/>
  <c r="L26" i="25"/>
  <c r="K20" i="25"/>
  <c r="L20" i="25"/>
  <c r="L78" i="25" l="1"/>
  <c r="M78" i="25"/>
  <c r="K78" i="25"/>
  <c r="K79" i="25"/>
  <c r="M79" i="25"/>
  <c r="L79" i="25"/>
  <c r="L23" i="26"/>
  <c r="K13" i="28"/>
  <c r="M13" i="28"/>
  <c r="N13" i="28" s="1"/>
  <c r="M53" i="27"/>
  <c r="J53" i="27" s="1"/>
  <c r="M54" i="27"/>
  <c r="J54" i="27" s="1"/>
  <c r="K15" i="28"/>
  <c r="M15" i="28"/>
  <c r="N15" i="28" s="1"/>
  <c r="S8" i="28"/>
  <c r="P8" i="28"/>
  <c r="L8" i="28" s="1"/>
  <c r="R8" i="28"/>
  <c r="R10" i="28"/>
  <c r="S10" i="28"/>
  <c r="P10" i="28"/>
  <c r="L10" i="28" s="1"/>
  <c r="L24" i="26"/>
  <c r="K24" i="26"/>
  <c r="I24" i="26"/>
  <c r="E24" i="26" s="1"/>
  <c r="L26" i="26"/>
  <c r="K26" i="26"/>
  <c r="I26" i="26"/>
  <c r="E26" i="26" s="1"/>
  <c r="K23" i="26"/>
  <c r="M46" i="26"/>
  <c r="J46" i="26" s="1"/>
  <c r="M47" i="26"/>
  <c r="J47" i="26" s="1"/>
  <c r="M48" i="26"/>
  <c r="J48" i="26" s="1"/>
  <c r="M45" i="26"/>
  <c r="J45" i="26" s="1"/>
  <c r="I25" i="26"/>
  <c r="E25" i="26" s="1"/>
  <c r="L25" i="26"/>
  <c r="K25" i="26"/>
  <c r="F61" i="25"/>
  <c r="G61" i="25" s="1"/>
  <c r="D61" i="25"/>
  <c r="L60" i="25"/>
  <c r="E60" i="25"/>
  <c r="D60" i="25" s="1"/>
  <c r="K60" i="25"/>
  <c r="F23" i="26"/>
  <c r="G23" i="26" s="1"/>
  <c r="D23" i="26"/>
  <c r="D50" i="25"/>
  <c r="F50" i="25"/>
  <c r="G50" i="25" s="1"/>
  <c r="D52" i="25"/>
  <c r="F52" i="25"/>
  <c r="G52" i="25" s="1"/>
  <c r="D51" i="25"/>
  <c r="F51" i="25"/>
  <c r="G51" i="25" s="1"/>
  <c r="F53" i="25"/>
  <c r="G53" i="25" s="1"/>
  <c r="D53" i="25"/>
  <c r="F28" i="25"/>
  <c r="G28" i="25" s="1"/>
  <c r="D28" i="25"/>
  <c r="I53" i="27" l="1"/>
  <c r="K53" i="27"/>
  <c r="L53" i="27"/>
  <c r="I54" i="27"/>
  <c r="K54" i="27"/>
  <c r="L54" i="27"/>
  <c r="K10" i="28"/>
  <c r="M10" i="28"/>
  <c r="N10" i="28" s="1"/>
  <c r="M8" i="28"/>
  <c r="N8" i="28" s="1"/>
  <c r="K8" i="28"/>
  <c r="I48" i="26"/>
  <c r="L48" i="26"/>
  <c r="K48" i="26"/>
  <c r="I45" i="26"/>
  <c r="L45" i="26"/>
  <c r="K45" i="26"/>
  <c r="L46" i="26"/>
  <c r="K46" i="26"/>
  <c r="I46" i="26"/>
  <c r="K47" i="26"/>
  <c r="I47" i="26"/>
  <c r="E47" i="26" s="1"/>
  <c r="D47" i="26" s="1"/>
  <c r="L47" i="26"/>
  <c r="F26" i="26"/>
  <c r="G26" i="26" s="1"/>
  <c r="D26" i="26"/>
  <c r="D25" i="26"/>
  <c r="F25" i="26"/>
  <c r="G25" i="26" s="1"/>
  <c r="F24" i="26"/>
  <c r="G24" i="26" s="1"/>
  <c r="D24" i="26"/>
  <c r="F60" i="25"/>
  <c r="G60" i="25" s="1"/>
  <c r="F47" i="26" l="1"/>
  <c r="G47" i="26" s="1"/>
  <c r="E45" i="26"/>
  <c r="F45" i="26" s="1"/>
  <c r="G45" i="26" s="1"/>
  <c r="E46" i="26"/>
  <c r="F46" i="26" s="1"/>
  <c r="G46" i="26" s="1"/>
  <c r="E48" i="26"/>
  <c r="F48" i="26" s="1"/>
  <c r="G48" i="26" s="1"/>
  <c r="E53" i="26"/>
  <c r="F53" i="26"/>
  <c r="G53" i="26" s="1"/>
  <c r="I53" i="26"/>
  <c r="J53" i="26" s="1"/>
  <c r="D46" i="26" l="1"/>
  <c r="D45" i="26"/>
  <c r="D48" i="26"/>
  <c r="L53" i="26"/>
  <c r="K53" i="26"/>
  <c r="M53" i="26"/>
  <c r="M55" i="26" l="1"/>
  <c r="J55" i="26" s="1"/>
  <c r="L55" i="26" l="1"/>
  <c r="I55" i="26"/>
  <c r="E55" i="26" s="1"/>
  <c r="D55" i="26" s="1"/>
  <c r="K55" i="26"/>
  <c r="F55" i="26" l="1"/>
  <c r="G55" i="26" s="1"/>
  <c r="E54" i="26"/>
  <c r="I54" i="26"/>
  <c r="J54" i="26" s="1"/>
  <c r="F54" i="26"/>
  <c r="G54" i="26" s="1"/>
  <c r="K54" i="26" l="1"/>
  <c r="L54" i="26"/>
  <c r="M54" i="26"/>
  <c r="M56" i="26" l="1"/>
  <c r="J56" i="26" s="1"/>
  <c r="I56" i="26" l="1"/>
  <c r="E56" i="26" s="1"/>
  <c r="F56" i="26" s="1"/>
  <c r="G56" i="26" s="1"/>
  <c r="L56" i="26"/>
  <c r="K56" i="26"/>
  <c r="D56" i="26" l="1"/>
  <c r="E53" i="27"/>
  <c r="D53" i="27" s="1"/>
  <c r="E54" i="27"/>
  <c r="F54" i="27" s="1"/>
  <c r="G54" i="27" s="1"/>
  <c r="D54" i="27" l="1"/>
  <c r="F53" i="27"/>
  <c r="G53" i="27" s="1"/>
  <c r="B14"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tc={31FC2133-E853-4DBB-8530-5B24792BE510}</author>
  </authors>
  <commentList>
    <comment ref="F25" authorId="0" shapeId="0" xr:uid="{31FC2133-E853-4DBB-8530-5B24792BE510}">
      <text>
        <t xml:space="preserve">[Threaded comment]
Your version of Excel allows you to read this threaded comment; however, any edits to it will get removed if the file is opened in a newer version of Excel. Learn more: https://go.microsoft.com/fwlink/?linkid=870924
Comment:
    3600 = Sekunden pro Stunde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MOSER Florian</author>
  </authors>
  <commentList>
    <comment ref="R84" authorId="0" shapeId="0" xr:uid="{809A5C12-1FA5-4BA5-AAC0-2684E8A2C08E}">
      <text>
        <r>
          <rPr>
            <b/>
            <sz val="9"/>
            <color indexed="81"/>
            <rFont val="Tahoma"/>
            <family val="2"/>
          </rPr>
          <t>MOSER Florian:</t>
        </r>
        <r>
          <rPr>
            <sz val="9"/>
            <color indexed="81"/>
            <rFont val="Tahoma"/>
            <family val="2"/>
          </rPr>
          <t xml:space="preserve">
1x in 50 Jahren
</t>
        </r>
      </text>
    </comment>
    <comment ref="S84" authorId="0" shapeId="0" xr:uid="{54A2DE70-8A66-40B4-8390-FBCA3251BB2C}">
      <text>
        <r>
          <rPr>
            <b/>
            <sz val="9"/>
            <color indexed="81"/>
            <rFont val="Tahoma"/>
            <family val="2"/>
          </rPr>
          <t>MOSER Florian:</t>
        </r>
        <r>
          <rPr>
            <sz val="9"/>
            <color indexed="81"/>
            <rFont val="Tahoma"/>
            <family val="2"/>
          </rPr>
          <t xml:space="preserve">
62,5min in 50J
1,0417*60=62,5</t>
        </r>
      </text>
    </comment>
    <comment ref="R85" authorId="0" shapeId="0" xr:uid="{C2EC3A90-67CB-463D-844C-C6ED5853937E}">
      <text>
        <r>
          <rPr>
            <b/>
            <sz val="9"/>
            <color indexed="81"/>
            <rFont val="Tahoma"/>
            <family val="2"/>
          </rPr>
          <t>MOSER Florian:</t>
        </r>
        <r>
          <rPr>
            <sz val="9"/>
            <color indexed="81"/>
            <rFont val="Tahoma"/>
            <family val="2"/>
          </rPr>
          <t xml:space="preserve">
1x in 5 Jahren
</t>
        </r>
      </text>
    </comment>
    <comment ref="S85" authorId="0" shapeId="0" xr:uid="{1C0553CC-BE0B-43AE-8BA2-B983456D6ED2}">
      <text>
        <r>
          <rPr>
            <b/>
            <sz val="9"/>
            <color indexed="81"/>
            <rFont val="Tahoma"/>
            <family val="2"/>
          </rPr>
          <t>MOSER Florian:</t>
        </r>
        <r>
          <rPr>
            <sz val="9"/>
            <color indexed="81"/>
            <rFont val="Tahoma"/>
            <family val="2"/>
          </rPr>
          <t xml:space="preserve">
10min in 5J
</t>
        </r>
      </text>
    </comment>
    <comment ref="S87" authorId="0" shapeId="0" xr:uid="{63D1FF46-04DC-4FFF-B2DE-FD1F981460FB}">
      <text>
        <r>
          <rPr>
            <b/>
            <sz val="9"/>
            <color indexed="81"/>
            <rFont val="Tahoma"/>
            <family val="2"/>
          </rPr>
          <t>MOSER Florian:</t>
        </r>
        <r>
          <rPr>
            <sz val="9"/>
            <color indexed="81"/>
            <rFont val="Tahoma"/>
            <family val="2"/>
          </rPr>
          <t xml:space="preserve">
25h*60min=1500min</t>
        </r>
      </text>
    </comment>
    <comment ref="R89" authorId="0" shapeId="0" xr:uid="{4C4890D7-6C14-420A-9D79-8FCEBA912CBF}">
      <text>
        <r>
          <rPr>
            <b/>
            <sz val="9"/>
            <color indexed="81"/>
            <rFont val="Tahoma"/>
            <family val="2"/>
          </rPr>
          <t>MOSER Florian:</t>
        </r>
        <r>
          <rPr>
            <sz val="9"/>
            <color indexed="81"/>
            <rFont val="Tahoma"/>
            <family val="2"/>
          </rPr>
          <t xml:space="preserve">
1x in 20y</t>
        </r>
      </text>
    </comment>
    <comment ref="S89" authorId="0" shapeId="0" xr:uid="{16757A97-55E3-41E6-ABDE-F41DE2D3B680}">
      <text>
        <r>
          <rPr>
            <b/>
            <sz val="9"/>
            <color indexed="81"/>
            <rFont val="Tahoma"/>
            <family val="2"/>
          </rPr>
          <t>MOSER Florian:</t>
        </r>
        <r>
          <rPr>
            <sz val="9"/>
            <color indexed="81"/>
            <rFont val="Tahoma"/>
            <family val="2"/>
          </rPr>
          <t xml:space="preserve">
225min in 20 y
</t>
        </r>
      </text>
    </comment>
    <comment ref="R90" authorId="0" shapeId="0" xr:uid="{0F87324F-F144-46ED-8A5C-A5AF40085E8E}">
      <text>
        <r>
          <rPr>
            <b/>
            <sz val="9"/>
            <color indexed="81"/>
            <rFont val="Tahoma"/>
            <family val="2"/>
          </rPr>
          <t>MOSER Florian:</t>
        </r>
        <r>
          <rPr>
            <sz val="9"/>
            <color indexed="81"/>
            <rFont val="Tahoma"/>
            <family val="2"/>
          </rPr>
          <t xml:space="preserve">
1x in 2 jahren
</t>
        </r>
      </text>
    </comment>
    <comment ref="S90" authorId="0" shapeId="0" xr:uid="{F30A45F4-0541-4F5F-80A4-D04F84FB674E}">
      <text>
        <r>
          <rPr>
            <b/>
            <sz val="9"/>
            <color indexed="81"/>
            <rFont val="Tahoma"/>
            <family val="2"/>
          </rPr>
          <t>MOSER Florian:</t>
        </r>
        <r>
          <rPr>
            <sz val="9"/>
            <color indexed="81"/>
            <rFont val="Tahoma"/>
            <family val="2"/>
          </rPr>
          <t xml:space="preserve">
10 min in 2y
</t>
        </r>
      </text>
    </comment>
    <comment ref="R94" authorId="0" shapeId="0" xr:uid="{5CCE908F-7934-4599-AA23-C9710A413B37}">
      <text>
        <r>
          <rPr>
            <b/>
            <sz val="9"/>
            <color indexed="81"/>
            <rFont val="Tahoma"/>
            <family val="2"/>
          </rPr>
          <t>MOSER Florian:</t>
        </r>
        <r>
          <rPr>
            <sz val="9"/>
            <color indexed="81"/>
            <rFont val="Tahoma"/>
            <family val="2"/>
          </rPr>
          <t xml:space="preserve">
1x in 10y
87600h = 10 y</t>
        </r>
      </text>
    </comment>
    <comment ref="S94" authorId="0" shapeId="0" xr:uid="{1D5E7FF6-E9BA-4CB6-B637-B9BA15945035}">
      <text>
        <r>
          <rPr>
            <b/>
            <sz val="9"/>
            <color indexed="81"/>
            <rFont val="Tahoma"/>
            <family val="2"/>
          </rPr>
          <t>MOSER Florian:</t>
        </r>
        <r>
          <rPr>
            <sz val="9"/>
            <color indexed="81"/>
            <rFont val="Tahoma"/>
            <family val="2"/>
          </rPr>
          <t xml:space="preserve">
225min in 10y
3,7500h*60 =225 min
225/10=22,5min y</t>
        </r>
      </text>
    </comment>
    <comment ref="R95" authorId="0" shapeId="0" xr:uid="{54CF2473-7438-4CCD-9747-501869352CF1}">
      <text>
        <r>
          <rPr>
            <b/>
            <sz val="9"/>
            <color indexed="81"/>
            <rFont val="Tahoma"/>
            <family val="2"/>
          </rPr>
          <t>MOSER Florian:</t>
        </r>
        <r>
          <rPr>
            <sz val="9"/>
            <color indexed="81"/>
            <rFont val="Tahoma"/>
            <family val="2"/>
          </rPr>
          <t xml:space="preserve">
17520h = 2 Y
1x in 2y = 1/2 =0,5 pro Jahr</t>
        </r>
      </text>
    </comment>
    <comment ref="S95" authorId="0" shapeId="0" xr:uid="{44D9EC34-6A3D-49CF-8C70-D09C35BB4C42}">
      <text>
        <r>
          <rPr>
            <b/>
            <sz val="9"/>
            <color indexed="81"/>
            <rFont val="Tahoma"/>
            <family val="2"/>
          </rPr>
          <t>MOSER Florian:</t>
        </r>
        <r>
          <rPr>
            <sz val="9"/>
            <color indexed="81"/>
            <rFont val="Tahoma"/>
            <family val="2"/>
          </rPr>
          <t xml:space="preserve">
0,1667h*60=10min
10min in 2 y
=10/2 = 5min pro Jahr
</t>
        </r>
      </text>
    </comment>
    <comment ref="R96" authorId="0" shapeId="0" xr:uid="{4F6A0EED-BAE6-4CF0-B970-52E26C31D571}">
      <text>
        <r>
          <rPr>
            <b/>
            <sz val="9"/>
            <color indexed="81"/>
            <rFont val="Tahoma"/>
            <family val="2"/>
          </rPr>
          <t>MOSER Florian:</t>
        </r>
        <r>
          <rPr>
            <sz val="9"/>
            <color indexed="81"/>
            <rFont val="Tahoma"/>
            <family val="2"/>
          </rPr>
          <t xml:space="preserve">
8760h = 1 year</t>
        </r>
      </text>
    </comment>
    <comment ref="S96" authorId="0" shapeId="0" xr:uid="{43AF43D3-44A6-447C-8B5F-3BD529B1A907}">
      <text>
        <r>
          <rPr>
            <b/>
            <sz val="9"/>
            <color indexed="81"/>
            <rFont val="Tahoma"/>
            <family val="2"/>
          </rPr>
          <t>MOSER Florian:</t>
        </r>
        <r>
          <rPr>
            <sz val="9"/>
            <color indexed="81"/>
            <rFont val="Tahoma"/>
            <family val="2"/>
          </rPr>
          <t xml:space="preserve">
0,0333*60=2min
2/1= 2 min Jahr
</t>
        </r>
      </text>
    </comment>
  </commentList>
</comments>
</file>

<file path=xl/sharedStrings.xml><?xml version="1.0" encoding="utf-8"?>
<sst xmlns="http://schemas.openxmlformats.org/spreadsheetml/2006/main" count="1729" uniqueCount="891">
  <si>
    <t>Level of Sensitivity</t>
  </si>
  <si>
    <t>THALES GROUP LIMITED DISTRIBUTION</t>
  </si>
  <si>
    <t xml:space="preserve">Document Type </t>
  </si>
  <si>
    <t>RAM Analysis</t>
  </si>
  <si>
    <t>Document Code</t>
  </si>
  <si>
    <t>&lt;Document Code&gt;</t>
  </si>
  <si>
    <t>Title 1</t>
  </si>
  <si>
    <t>DSTW</t>
  </si>
  <si>
    <t>Title 2</t>
  </si>
  <si>
    <t>Title 3</t>
  </si>
  <si>
    <t>Class 1</t>
  </si>
  <si>
    <t>GTS Ground Transportation Systems Austria GmbH</t>
  </si>
  <si>
    <t>Class 2</t>
  </si>
  <si>
    <t>Class 3</t>
  </si>
  <si>
    <t>Class 4</t>
  </si>
  <si>
    <t>TRN/Version/Status</t>
  </si>
  <si>
    <t>XXXX-XXXXXXXXXX/X.X /XX</t>
  </si>
  <si>
    <t>BI 1/Edition/Status</t>
  </si>
  <si>
    <t>BI 2</t>
  </si>
  <si>
    <t>Version</t>
  </si>
  <si>
    <t>Date</t>
  </si>
  <si>
    <t>Change Note</t>
  </si>
  <si>
    <t>Actors</t>
  </si>
  <si>
    <t>Name &amp; Role</t>
  </si>
  <si>
    <t>Written by</t>
  </si>
  <si>
    <t>Florian Moser
RAM-AM</t>
  </si>
  <si>
    <t>Verified by</t>
  </si>
  <si>
    <t>First Name Last Name
Role</t>
  </si>
  <si>
    <t>dd.mm.yyyy</t>
  </si>
  <si>
    <t>Approved by</t>
  </si>
  <si>
    <t>Editions and Change History:</t>
  </si>
  <si>
    <t>Edition</t>
  </si>
  <si>
    <t>Originator</t>
  </si>
  <si>
    <t>Quality Verification</t>
  </si>
  <si>
    <t>Appraisal Authority</t>
  </si>
  <si>
    <t>Change Description</t>
  </si>
  <si>
    <t>01</t>
  </si>
  <si>
    <t>GTS Austria / TRR</t>
  </si>
  <si>
    <t>GTS Austria / Dept.</t>
  </si>
  <si>
    <t>First Version</t>
  </si>
  <si>
    <t>RAM-AM</t>
  </si>
  <si>
    <t>Role</t>
  </si>
  <si>
    <t>Florian Moser</t>
  </si>
  <si>
    <t>First Name Last Name</t>
  </si>
  <si>
    <t>The characteristics of hot stand-by and warm stand-by are as follows:</t>
  </si>
  <si>
    <t>Hot stand-by</t>
  </si>
  <si>
    <t>A single fault can be tolerated without any impact on operational availability. The switchover between redundant components is fully transparent and enables this way a high availability as well as a high reliability (MTBF) of the system.</t>
  </si>
  <si>
    <t>Warm stand-by</t>
  </si>
  <si>
    <t>A single fault can be tolerated, but there is typically a small impact on operational availability. Contrary to a cold stand-by mode, hardware is in power on state but a switchover to the redundant component is not fully transparent as operational processes on the redundant component may need to be started.
Since there is an operational impact the reliability is essentially the same as that of a non-redundant system. But the downtime is significantly smaller than in cold stand-by resulting in high availability figures.</t>
  </si>
  <si>
    <t>Component</t>
  </si>
  <si>
    <t>FiT
GB 40 ºC
per comp.</t>
  </si>
  <si>
    <t>MTBF
[h]</t>
  </si>
  <si>
    <t>MTBF
[y]</t>
  </si>
  <si>
    <t>Server Machine</t>
  </si>
  <si>
    <t>ControlServer</t>
  </si>
  <si>
    <t>Master</t>
  </si>
  <si>
    <t>Compute Server</t>
  </si>
  <si>
    <t>StorageServer</t>
  </si>
  <si>
    <t>Slave</t>
  </si>
  <si>
    <t>Switch 7210</t>
  </si>
  <si>
    <t>-</t>
  </si>
  <si>
    <t>Switch 7210_1oo2_hot</t>
  </si>
  <si>
    <t>Server Machine is estimated with 10 000 FiT.</t>
  </si>
  <si>
    <t>Slave is estimated with 5% of FiT value of the Master.</t>
  </si>
  <si>
    <t>Switch 7210 failure rates are taken from RAM ANA BFZ.</t>
  </si>
  <si>
    <t>Availability</t>
  </si>
  <si>
    <t>Downtime min/y</t>
  </si>
  <si>
    <t>Klasse 1</t>
  </si>
  <si>
    <t>Klasse 2</t>
  </si>
  <si>
    <t>Klasse 3</t>
  </si>
  <si>
    <t>Cabinet</t>
  </si>
  <si>
    <t>Description</t>
  </si>
  <si>
    <t>Qty</t>
  </si>
  <si>
    <t>Redundancy</t>
  </si>
  <si>
    <t>Failure
[%/y]</t>
  </si>
  <si>
    <t>Avail.</t>
  </si>
  <si>
    <t>Avail.
[%]</t>
  </si>
  <si>
    <t>Unavailability</t>
  </si>
  <si>
    <t>[h/y]</t>
  </si>
  <si>
    <t>[min/y]</t>
  </si>
  <si>
    <t xml:space="preserve"> [sec/y]</t>
  </si>
  <si>
    <t>Location 1</t>
  </si>
  <si>
    <t>Network Switch 1</t>
  </si>
  <si>
    <t>1oo2</t>
  </si>
  <si>
    <t>Network Switch 2</t>
  </si>
  <si>
    <t>1-10</t>
  </si>
  <si>
    <t>1-3</t>
  </si>
  <si>
    <t>Network</t>
  </si>
  <si>
    <t>Core Router 1</t>
  </si>
  <si>
    <t>Core Router 2</t>
  </si>
  <si>
    <t>Location 2</t>
  </si>
  <si>
    <t>Server</t>
  </si>
  <si>
    <t>total</t>
  </si>
  <si>
    <t>1 Location</t>
  </si>
  <si>
    <t>MTTR</t>
  </si>
  <si>
    <t>Availability
[%]</t>
  </si>
  <si>
    <t>FiT</t>
  </si>
  <si>
    <t>MTBF [h]</t>
  </si>
  <si>
    <t>MTBF [y]</t>
  </si>
  <si>
    <t>Failure year [%]</t>
  </si>
  <si>
    <t>PA</t>
  </si>
  <si>
    <t>Ausbaugrad</t>
  </si>
  <si>
    <t>Teilsystem</t>
  </si>
  <si>
    <t>Zelle</t>
  </si>
  <si>
    <t>VSTW</t>
  </si>
  <si>
    <t>Spares</t>
  </si>
  <si>
    <t>GB 40 °C</t>
  </si>
  <si>
    <t>1-PA</t>
  </si>
  <si>
    <t>h/y</t>
  </si>
  <si>
    <t>min/y</t>
  </si>
  <si>
    <t>sec/y</t>
  </si>
  <si>
    <t>2x(2oo2)</t>
  </si>
  <si>
    <t>1 Teilsystem: (1 Zelle, 8 VSTW, 4 Server)</t>
  </si>
  <si>
    <t>minimal</t>
  </si>
  <si>
    <t>7 Teilsysteme: (7 Zellen, 56 VSTW, 28 Server)</t>
  </si>
  <si>
    <t>maximal</t>
  </si>
  <si>
    <t>2oo3_hot</t>
  </si>
  <si>
    <t>1 Teilsystem: (1 Zelle, 8 VSTW, 3 Server)</t>
  </si>
  <si>
    <t>9 Teilsysteme: (9 Zelle, 72 VSTW, 27 Server)</t>
  </si>
  <si>
    <t>warm_standby</t>
  </si>
  <si>
    <t>1 Teilsystem: (1 Zelle, 8 VSTW, 2 Server)</t>
  </si>
  <si>
    <t>14 Teilsysteme: (14 Zelle, 112 VSTW, 28 Server)</t>
  </si>
  <si>
    <t>DSTW Logical Equations 2x(2oo2)</t>
  </si>
  <si>
    <r>
      <t>CN1</t>
    </r>
    <r>
      <rPr>
        <b/>
        <sz val="6"/>
        <rFont val="Arial"/>
        <family val="2"/>
      </rPr>
      <t>Master</t>
    </r>
    <r>
      <rPr>
        <b/>
        <sz val="9"/>
        <rFont val="Arial"/>
        <family val="2"/>
      </rPr>
      <t xml:space="preserve"> = (CE.1.1 + CE1.2 + ControlServer)</t>
    </r>
    <r>
      <rPr>
        <b/>
        <sz val="6"/>
        <rFont val="Arial"/>
        <family val="2"/>
      </rPr>
      <t>2oo2</t>
    </r>
  </si>
  <si>
    <t>1h</t>
  </si>
  <si>
    <r>
      <t>CE1.1 = (1*ComputeServer + 1*StorageServer)</t>
    </r>
    <r>
      <rPr>
        <sz val="6"/>
        <rFont val="Arial"/>
        <family val="2"/>
      </rPr>
      <t>Master</t>
    </r>
  </si>
  <si>
    <r>
      <t>CE1.2 = (1*ComputeServer + 1*StorageServer)</t>
    </r>
    <r>
      <rPr>
        <sz val="6"/>
        <rFont val="Arial"/>
        <family val="2"/>
      </rPr>
      <t>Master</t>
    </r>
  </si>
  <si>
    <r>
      <t>CN2</t>
    </r>
    <r>
      <rPr>
        <b/>
        <sz val="6"/>
        <rFont val="Arial"/>
        <family val="2"/>
      </rPr>
      <t>Slave</t>
    </r>
    <r>
      <rPr>
        <b/>
        <sz val="9"/>
        <rFont val="Arial"/>
        <family val="2"/>
      </rPr>
      <t xml:space="preserve"> = (CE.2.1 + CE2.2 + ControlServer)</t>
    </r>
    <r>
      <rPr>
        <b/>
        <sz val="6"/>
        <rFont val="Arial"/>
        <family val="2"/>
      </rPr>
      <t>2oo2</t>
    </r>
  </si>
  <si>
    <r>
      <t>CE2.1 = (1*ComputeServer + 1*StorageServer)</t>
    </r>
    <r>
      <rPr>
        <sz val="6"/>
        <rFont val="Arial"/>
        <family val="2"/>
      </rPr>
      <t>Slave</t>
    </r>
  </si>
  <si>
    <r>
      <t>CE2.2 = (1*ComputeServer + 1*StorageServer)</t>
    </r>
    <r>
      <rPr>
        <sz val="6"/>
        <rFont val="Arial"/>
        <family val="2"/>
      </rPr>
      <t>Slave</t>
    </r>
  </si>
  <si>
    <r>
      <t>Network = 3*(Switch</t>
    </r>
    <r>
      <rPr>
        <b/>
        <sz val="6"/>
        <rFont val="Arial"/>
        <family val="2"/>
      </rPr>
      <t>1oo2</t>
    </r>
    <r>
      <rPr>
        <b/>
        <sz val="9"/>
        <rFont val="Arial"/>
        <family val="2"/>
      </rPr>
      <t>)</t>
    </r>
  </si>
  <si>
    <t>8h</t>
  </si>
  <si>
    <r>
      <t>Core_Router = Router</t>
    </r>
    <r>
      <rPr>
        <b/>
        <sz val="6"/>
        <rFont val="Arial"/>
        <family val="2"/>
      </rPr>
      <t>1oo2</t>
    </r>
  </si>
  <si>
    <r>
      <t>CN1+CN2</t>
    </r>
    <r>
      <rPr>
        <b/>
        <i/>
        <sz val="6"/>
        <color theme="4" tint="-0.249977111117893"/>
        <rFont val="Arial"/>
        <family val="2"/>
      </rPr>
      <t>1oo2_hot</t>
    </r>
    <r>
      <rPr>
        <b/>
        <i/>
        <sz val="9"/>
        <color theme="4" tint="-0.249977111117893"/>
        <rFont val="Arial"/>
        <family val="2"/>
      </rPr>
      <t xml:space="preserve"> + Network - MTTR = 2min</t>
    </r>
  </si>
  <si>
    <t>2min</t>
  </si>
  <si>
    <r>
      <t>CN1+CN2</t>
    </r>
    <r>
      <rPr>
        <b/>
        <i/>
        <sz val="6"/>
        <color theme="4" tint="-0.249977111117893"/>
        <rFont val="Arial"/>
        <family val="2"/>
      </rPr>
      <t>1oo2_hot</t>
    </r>
    <r>
      <rPr>
        <b/>
        <i/>
        <sz val="9"/>
        <color theme="4" tint="-0.249977111117893"/>
        <rFont val="Arial"/>
        <family val="2"/>
      </rPr>
      <t xml:space="preserve"> + Network - MTTR = 5min</t>
    </r>
  </si>
  <si>
    <t>5min</t>
  </si>
  <si>
    <r>
      <t>CN1+CN2</t>
    </r>
    <r>
      <rPr>
        <b/>
        <i/>
        <sz val="6"/>
        <color theme="4" tint="-0.249977111117893"/>
        <rFont val="Arial"/>
        <family val="2"/>
      </rPr>
      <t>1oo2_hot</t>
    </r>
    <r>
      <rPr>
        <b/>
        <i/>
        <sz val="9"/>
        <color theme="4" tint="-0.249977111117893"/>
        <rFont val="Arial"/>
        <family val="2"/>
      </rPr>
      <t xml:space="preserve"> + Network - MTTR = 10min</t>
    </r>
  </si>
  <si>
    <t>10min</t>
  </si>
  <si>
    <r>
      <t>CN1+CN2</t>
    </r>
    <r>
      <rPr>
        <b/>
        <i/>
        <sz val="6"/>
        <color theme="4" tint="-0.249977111117893"/>
        <rFont val="Arial"/>
        <family val="2"/>
      </rPr>
      <t>1oo2_hot</t>
    </r>
    <r>
      <rPr>
        <b/>
        <i/>
        <sz val="9"/>
        <color theme="4" tint="-0.249977111117893"/>
        <rFont val="Arial"/>
        <family val="2"/>
      </rPr>
      <t xml:space="preserve"> + Network - MTTR = 1h</t>
    </r>
  </si>
  <si>
    <t>Maximalausbau mit 2 Servern als Spare</t>
  </si>
  <si>
    <r>
      <t>CN1+CN2</t>
    </r>
    <r>
      <rPr>
        <b/>
        <i/>
        <sz val="6"/>
        <color theme="4" tint="-0.249977111117893"/>
        <rFont val="Arial"/>
        <family val="2"/>
      </rPr>
      <t>1oo2_hot</t>
    </r>
    <r>
      <rPr>
        <b/>
        <i/>
        <sz val="9"/>
        <color theme="4" tint="-0.249977111117893"/>
        <rFont val="Arial"/>
        <family val="2"/>
      </rPr>
      <t xml:space="preserve"> + Network - MTTR = 2min   *7</t>
    </r>
  </si>
  <si>
    <r>
      <t>CN1+CN2</t>
    </r>
    <r>
      <rPr>
        <b/>
        <i/>
        <sz val="6"/>
        <color theme="4" tint="-0.249977111117893"/>
        <rFont val="Arial"/>
        <family val="2"/>
      </rPr>
      <t>1oo2_hot</t>
    </r>
    <r>
      <rPr>
        <b/>
        <i/>
        <sz val="9"/>
        <color theme="4" tint="-0.249977111117893"/>
        <rFont val="Arial"/>
        <family val="2"/>
      </rPr>
      <t xml:space="preserve"> + Network - MTTR = 5min   *7</t>
    </r>
  </si>
  <si>
    <r>
      <t>CN1+CN2</t>
    </r>
    <r>
      <rPr>
        <b/>
        <i/>
        <sz val="6"/>
        <color theme="4" tint="-0.249977111117893"/>
        <rFont val="Arial"/>
        <family val="2"/>
      </rPr>
      <t>1oo2_hot</t>
    </r>
    <r>
      <rPr>
        <b/>
        <i/>
        <sz val="9"/>
        <color theme="4" tint="-0.249977111117893"/>
        <rFont val="Arial"/>
        <family val="2"/>
      </rPr>
      <t xml:space="preserve"> + Network - MTTR = 10min   *7</t>
    </r>
  </si>
  <si>
    <r>
      <t>CN1+CN2</t>
    </r>
    <r>
      <rPr>
        <b/>
        <i/>
        <sz val="6"/>
        <color theme="4" tint="-0.249977111117893"/>
        <rFont val="Arial"/>
        <family val="2"/>
      </rPr>
      <t>1oo2_hot</t>
    </r>
    <r>
      <rPr>
        <b/>
        <i/>
        <sz val="9"/>
        <color theme="4" tint="-0.249977111117893"/>
        <rFont val="Arial"/>
        <family val="2"/>
      </rPr>
      <t xml:space="preserve"> + Network - MTTR = 1h  *7</t>
    </r>
  </si>
  <si>
    <t>Location 1 - Georedundanz - 1 Teilsystem</t>
  </si>
  <si>
    <r>
      <t>CN3</t>
    </r>
    <r>
      <rPr>
        <b/>
        <sz val="6"/>
        <rFont val="Arial"/>
        <family val="2"/>
      </rPr>
      <t>Slave</t>
    </r>
    <r>
      <rPr>
        <b/>
        <sz val="9"/>
        <rFont val="Arial"/>
        <family val="2"/>
      </rPr>
      <t xml:space="preserve"> = (CE.3.1 + CE3.2 + ControlServer)</t>
    </r>
    <r>
      <rPr>
        <b/>
        <sz val="6"/>
        <rFont val="Arial"/>
        <family val="2"/>
      </rPr>
      <t>2oo2</t>
    </r>
  </si>
  <si>
    <r>
      <t>CE3.1 = (1*ComputeServer + 1*StorageServer)</t>
    </r>
    <r>
      <rPr>
        <sz val="6"/>
        <rFont val="Arial"/>
        <family val="2"/>
      </rPr>
      <t>Slave</t>
    </r>
  </si>
  <si>
    <r>
      <t>CE3.2 = (1*ComputeServer + 1*StorageServer)</t>
    </r>
    <r>
      <rPr>
        <sz val="6"/>
        <rFont val="Arial"/>
        <family val="2"/>
      </rPr>
      <t>Slave</t>
    </r>
  </si>
  <si>
    <r>
      <t>CN4</t>
    </r>
    <r>
      <rPr>
        <b/>
        <sz val="6"/>
        <rFont val="Arial"/>
        <family val="2"/>
      </rPr>
      <t>Slave</t>
    </r>
    <r>
      <rPr>
        <b/>
        <sz val="9"/>
        <rFont val="Arial"/>
        <family val="2"/>
      </rPr>
      <t xml:space="preserve"> = (CE.4.1 + CE4.2 + ControlServer)</t>
    </r>
    <r>
      <rPr>
        <b/>
        <sz val="6"/>
        <rFont val="Arial"/>
        <family val="2"/>
      </rPr>
      <t>2oo2</t>
    </r>
  </si>
  <si>
    <r>
      <t>CE4.1 = (1*ComputeServer + 1*StorageServer)</t>
    </r>
    <r>
      <rPr>
        <sz val="6"/>
        <rFont val="Arial"/>
        <family val="2"/>
      </rPr>
      <t>Slave</t>
    </r>
  </si>
  <si>
    <r>
      <t>CE4.2 = (1*ComputeServer + 1*StorageServer)</t>
    </r>
    <r>
      <rPr>
        <sz val="6"/>
        <rFont val="Arial"/>
        <family val="2"/>
      </rPr>
      <t>Slave</t>
    </r>
  </si>
  <si>
    <r>
      <t>Network = 3*( Switch</t>
    </r>
    <r>
      <rPr>
        <b/>
        <sz val="6"/>
        <rFont val="Arial"/>
        <family val="2"/>
      </rPr>
      <t>1oo2</t>
    </r>
    <r>
      <rPr>
        <b/>
        <sz val="9"/>
        <rFont val="Arial"/>
        <family val="2"/>
      </rPr>
      <t>)</t>
    </r>
  </si>
  <si>
    <r>
      <t>CN3+CN4</t>
    </r>
    <r>
      <rPr>
        <b/>
        <i/>
        <sz val="6"/>
        <color theme="4" tint="-0.249977111117893"/>
        <rFont val="Arial"/>
        <family val="2"/>
      </rPr>
      <t>1oo2_hot</t>
    </r>
    <r>
      <rPr>
        <b/>
        <i/>
        <sz val="9"/>
        <color theme="4" tint="-0.249977111117893"/>
        <rFont val="Arial"/>
        <family val="2"/>
      </rPr>
      <t xml:space="preserve"> + Network - MTTR = 1h</t>
    </r>
  </si>
  <si>
    <r>
      <t>CN3+CN4</t>
    </r>
    <r>
      <rPr>
        <b/>
        <i/>
        <sz val="6"/>
        <color theme="4" tint="-0.249977111117893"/>
        <rFont val="Arial"/>
        <family val="2"/>
      </rPr>
      <t>1oo2_hot</t>
    </r>
    <r>
      <rPr>
        <b/>
        <i/>
        <sz val="9"/>
        <color theme="4" tint="-0.249977111117893"/>
        <rFont val="Arial"/>
        <family val="2"/>
      </rPr>
      <t xml:space="preserve"> + Network - MTTR = 1h  *7</t>
    </r>
  </si>
  <si>
    <t>Location 2 - Georedundanz - 1 Teilsystem</t>
  </si>
  <si>
    <t xml:space="preserve">Georedundancy </t>
  </si>
  <si>
    <r>
      <t>(Location1+Location2)</t>
    </r>
    <r>
      <rPr>
        <b/>
        <i/>
        <sz val="6"/>
        <color theme="4" tint="-0.249977111117893"/>
        <rFont val="Arial"/>
        <family val="2"/>
      </rPr>
      <t>1oo2</t>
    </r>
    <r>
      <rPr>
        <b/>
        <i/>
        <sz val="9"/>
        <color theme="4" tint="-0.249977111117893"/>
        <rFont val="Arial"/>
        <family val="2"/>
      </rPr>
      <t xml:space="preserve"> - 1 Teilsystem</t>
    </r>
  </si>
  <si>
    <t>15min</t>
  </si>
  <si>
    <r>
      <t>(Location1+Location2)</t>
    </r>
    <r>
      <rPr>
        <b/>
        <i/>
        <sz val="6"/>
        <color theme="4" tint="-0.249977111117893"/>
        <rFont val="Arial"/>
        <family val="2"/>
      </rPr>
      <t>1oo2</t>
    </r>
    <r>
      <rPr>
        <b/>
        <i/>
        <sz val="9"/>
        <color theme="4" tint="-0.249977111117893"/>
        <rFont val="Arial"/>
        <family val="2"/>
      </rPr>
      <t xml:space="preserve"> - 7 Teilsysteme</t>
    </r>
  </si>
  <si>
    <t>DSTW Logical Equations 2oo3_hot</t>
  </si>
  <si>
    <t>1 Teilsystem = 1*ControlServer+1*ComputeServer+1*StorageServer</t>
  </si>
  <si>
    <t>1*ControlServer+1*ComputeServer+1*StorageServer</t>
  </si>
  <si>
    <t>1 Teilsystem 2oo3_hot - MTTR 2min</t>
  </si>
  <si>
    <t>1 Teilsystem 2oo3_hot - MTTR 5min</t>
  </si>
  <si>
    <t>1 Teilsystem 2oo3_hot - MTTR 10min</t>
  </si>
  <si>
    <t>1 Teilsystem 2oo3_hot - MTTR 1h</t>
  </si>
  <si>
    <t>Maximalausbau mit 3 Servern als Spare</t>
  </si>
  <si>
    <t>9 Teilsysteme 2oo3_hot - MTTR 2min</t>
  </si>
  <si>
    <t>Unterschied zu 2x2oo2 - 9 Teilsysteme</t>
  </si>
  <si>
    <t>9 Teilsysteme 2oo3_hot - MTTR 5min</t>
  </si>
  <si>
    <t>9 Teilsysteme 2oo3_hot - MTTR 10min</t>
  </si>
  <si>
    <t>9 Teilsysteme 2oo3_hot - MTTR 1h</t>
  </si>
  <si>
    <t>Szenario: in einer location sind 2 cabinets ausgefallen</t>
  </si>
  <si>
    <r>
      <t>(Location1+Location2)</t>
    </r>
    <r>
      <rPr>
        <b/>
        <i/>
        <sz val="6"/>
        <color theme="4" tint="-0.249977111117893"/>
        <rFont val="Arial"/>
        <family val="2"/>
      </rPr>
      <t>1oo2</t>
    </r>
    <r>
      <rPr>
        <b/>
        <i/>
        <sz val="9"/>
        <color theme="4" tint="-0.249977111117893"/>
        <rFont val="Arial"/>
        <family val="2"/>
      </rPr>
      <t xml:space="preserve"> - 9Teilsysteme</t>
    </r>
  </si>
  <si>
    <t>DSTW Logical Equations - Warm Standby</t>
  </si>
  <si>
    <t>1CN = Cabinet 1 + Cabinet 2</t>
  </si>
  <si>
    <t>Cabinet 1 = 1*ControlServer+1*ComputeServer+1*StorageServer - Master</t>
  </si>
  <si>
    <t>Cabinet 2 = 1*ControlServer+1*ComputeServer+1*StorageServer - Slave</t>
  </si>
  <si>
    <t>1 Teilsystem WarmStandby - MTTR 2min</t>
  </si>
  <si>
    <t>nur Master, wenn Slave geht dann kein umschalten</t>
  </si>
  <si>
    <t>1 Teilsystem WarmStandby - MTTR 5min</t>
  </si>
  <si>
    <t>1 Teilsystem WarmStandby - MTTR 10min</t>
  </si>
  <si>
    <t>1 Teilsystem WarmStandby - MTTR 1h</t>
  </si>
  <si>
    <t>2 server als spare</t>
  </si>
  <si>
    <t>14 Teilsysteme WarmStandby - MTTR 2min</t>
  </si>
  <si>
    <t>14 Teilsysteme WarmStandby - MTTR 5min</t>
  </si>
  <si>
    <t>14 Teilsysteme WarmStandby - MTTR 10min</t>
  </si>
  <si>
    <t>14 Teilsysteme WarmStandby - MTTR 1h</t>
  </si>
  <si>
    <t>Cabinet 1 = 1*ControlServer+1*ComputeServer+1*StorageServer - Slave</t>
  </si>
  <si>
    <t>3min</t>
  </si>
  <si>
    <t>Umschaltung wie bei Maser_slave auf einer location</t>
  </si>
  <si>
    <t>Die hier dargestgellen RAM Betrachtungen basieren auf der in DSTW-ZE beschriebenen Architektur.</t>
  </si>
  <si>
    <t>(DSTW-ZE)</t>
  </si>
  <si>
    <t>Pro Standort werden drei Cabinets mit je 10 Servern angenommen = 30 Server total.</t>
  </si>
  <si>
    <t>Analog zur OMC wird von einem Zellenkonzept ausgegangen wo maximal 8 VSTW in einer Zelle (Teilsystem) enthalten sind.</t>
  </si>
  <si>
    <t>Basierend auf diesen Annahmen ergeben sich für die unterschiedlichen Redundanzkonzepte folgende Konfigurationen:</t>
  </si>
  <si>
    <r>
      <t xml:space="preserve">1) </t>
    </r>
    <r>
      <rPr>
        <b/>
        <sz val="10"/>
        <rFont val="Arial"/>
        <family val="2"/>
      </rPr>
      <t>2x(2oo2)</t>
    </r>
  </si>
  <si>
    <r>
      <t xml:space="preserve">1 Teilsystem besteht aus 8 VSTW auf </t>
    </r>
    <r>
      <rPr>
        <b/>
        <sz val="10"/>
        <rFont val="Arial"/>
        <family val="2"/>
      </rPr>
      <t>4</t>
    </r>
    <r>
      <rPr>
        <sz val="10"/>
        <rFont val="Arial"/>
        <family val="2"/>
      </rPr>
      <t xml:space="preserve"> Servern</t>
    </r>
  </si>
  <si>
    <r>
      <t>Bei insgesamt 30 verfügbaren Servern pro Standort können</t>
    </r>
    <r>
      <rPr>
        <b/>
        <sz val="10"/>
        <rFont val="Arial"/>
        <family val="2"/>
      </rPr>
      <t xml:space="preserve"> 7</t>
    </r>
    <r>
      <rPr>
        <sz val="10"/>
        <rFont val="Arial"/>
        <family val="2"/>
      </rPr>
      <t xml:space="preserve"> Teilsysteme mit insgesamt </t>
    </r>
    <r>
      <rPr>
        <b/>
        <sz val="10"/>
        <rFont val="Arial"/>
        <family val="2"/>
      </rPr>
      <t>56</t>
    </r>
    <r>
      <rPr>
        <sz val="10"/>
        <rFont val="Arial"/>
        <family val="2"/>
      </rPr>
      <t xml:space="preserve"> VSTW auf </t>
    </r>
    <r>
      <rPr>
        <b/>
        <sz val="10"/>
        <rFont val="Arial"/>
        <family val="2"/>
      </rPr>
      <t xml:space="preserve">28 </t>
    </r>
    <r>
      <rPr>
        <sz val="10"/>
        <rFont val="Arial"/>
        <family val="2"/>
      </rPr>
      <t>Servern betrieben werden</t>
    </r>
  </si>
  <si>
    <r>
      <t xml:space="preserve">2) </t>
    </r>
    <r>
      <rPr>
        <b/>
        <sz val="10"/>
        <rFont val="Arial"/>
        <family val="2"/>
      </rPr>
      <t>2oo3_hot</t>
    </r>
  </si>
  <si>
    <r>
      <t xml:space="preserve">1 Teilsystem besteht aus 8 VSTW auf </t>
    </r>
    <r>
      <rPr>
        <b/>
        <sz val="10"/>
        <rFont val="Arial"/>
        <family val="2"/>
      </rPr>
      <t>3</t>
    </r>
    <r>
      <rPr>
        <sz val="10"/>
        <rFont val="Arial"/>
        <family val="2"/>
      </rPr>
      <t xml:space="preserve"> Servern</t>
    </r>
  </si>
  <si>
    <r>
      <t xml:space="preserve">Bei insgesamt 30 verfügbaren Servern pro Standort können </t>
    </r>
    <r>
      <rPr>
        <b/>
        <sz val="10"/>
        <rFont val="Arial"/>
        <family val="2"/>
      </rPr>
      <t>9</t>
    </r>
    <r>
      <rPr>
        <sz val="10"/>
        <rFont val="Arial"/>
        <family val="2"/>
      </rPr>
      <t xml:space="preserve"> Teilsysteme mit insgesamt </t>
    </r>
    <r>
      <rPr>
        <b/>
        <sz val="10"/>
        <rFont val="Arial"/>
        <family val="2"/>
      </rPr>
      <t>72</t>
    </r>
    <r>
      <rPr>
        <sz val="10"/>
        <rFont val="Arial"/>
        <family val="2"/>
      </rPr>
      <t xml:space="preserve"> VSTW auf </t>
    </r>
    <r>
      <rPr>
        <b/>
        <sz val="10"/>
        <rFont val="Arial"/>
        <family val="2"/>
      </rPr>
      <t>27</t>
    </r>
    <r>
      <rPr>
        <sz val="10"/>
        <rFont val="Arial"/>
        <family val="2"/>
      </rPr>
      <t xml:space="preserve"> Servern betrieben werden</t>
    </r>
  </si>
  <si>
    <r>
      <t xml:space="preserve">3) </t>
    </r>
    <r>
      <rPr>
        <b/>
        <sz val="10"/>
        <rFont val="Arial"/>
        <family val="2"/>
      </rPr>
      <t>warm_standby</t>
    </r>
  </si>
  <si>
    <r>
      <t xml:space="preserve">1 Teilsystem besteht aus 8 VSTW auf </t>
    </r>
    <r>
      <rPr>
        <b/>
        <sz val="10"/>
        <rFont val="Arial"/>
        <family val="2"/>
      </rPr>
      <t>2</t>
    </r>
    <r>
      <rPr>
        <sz val="10"/>
        <rFont val="Arial"/>
        <family val="2"/>
      </rPr>
      <t xml:space="preserve"> Servern</t>
    </r>
  </si>
  <si>
    <r>
      <t xml:space="preserve">Bei insgesamt 30 verfügbaren Servern pro Standort können </t>
    </r>
    <r>
      <rPr>
        <b/>
        <sz val="10"/>
        <rFont val="Arial"/>
        <family val="2"/>
      </rPr>
      <t>14</t>
    </r>
    <r>
      <rPr>
        <sz val="10"/>
        <rFont val="Arial"/>
        <family val="2"/>
      </rPr>
      <t xml:space="preserve"> Teilsysteme mit insgesamt </t>
    </r>
    <r>
      <rPr>
        <b/>
        <sz val="10"/>
        <rFont val="Arial"/>
        <family val="2"/>
      </rPr>
      <t>112</t>
    </r>
    <r>
      <rPr>
        <sz val="10"/>
        <rFont val="Arial"/>
        <family val="2"/>
      </rPr>
      <t xml:space="preserve"> VSTW auf </t>
    </r>
    <r>
      <rPr>
        <b/>
        <sz val="10"/>
        <rFont val="Arial"/>
        <family val="2"/>
      </rPr>
      <t>28</t>
    </r>
    <r>
      <rPr>
        <sz val="10"/>
        <rFont val="Arial"/>
        <family val="2"/>
      </rPr>
      <t xml:space="preserve"> Servern betrieben werden</t>
    </r>
  </si>
  <si>
    <t>Analog zur OMC werden Systemausfälle verschiedenen Severity Levels zugeordnet.</t>
  </si>
  <si>
    <t>Severity Level</t>
  </si>
  <si>
    <t>Info</t>
  </si>
  <si>
    <t>ein VSTW betroffen</t>
  </si>
  <si>
    <t>Die geforderte Klasse 2 Verfügbarkeit wird in allen Redundanzkonzepten erreicht.</t>
  </si>
  <si>
    <t>Die geforderte Klasse 1 Verfügbarkeit wird bei 2x(2oo2) und 2oo3_hot auch bei Vollausbau erreicht.</t>
  </si>
  <si>
    <t>Die geforderte Klasse 1 Verfügbarkeit wird bei warm_standby im Vollausbau nur bei einer MTTR = 1min erreicht.</t>
  </si>
  <si>
    <t>In der 2oo3_hot Architektur können mehr Zellen (Teilsysteme) auf weniger Server Hardware betrieben werden als bei 2x(2oo2).</t>
  </si>
  <si>
    <t>In Warm_standby können die meisten Zellen (Teilsysteme) betrieben werden, aber die geforderte Klasse 1 Verfügbarkeit wird nicht erreicht.</t>
  </si>
  <si>
    <t>Redundanz</t>
  </si>
  <si>
    <t>max. Teilsysteme</t>
  </si>
  <si>
    <t xml:space="preserve">max. VSTW </t>
  </si>
  <si>
    <t xml:space="preserve">Klasse 1 </t>
  </si>
  <si>
    <t>ja</t>
  </si>
  <si>
    <t>nein</t>
  </si>
  <si>
    <t>Absolute Number</t>
  </si>
  <si>
    <t>ID</t>
  </si>
  <si>
    <t>Anforderung</t>
  </si>
  <si>
    <t>Verbindlichkeit</t>
  </si>
  <si>
    <t>Querbezug</t>
  </si>
  <si>
    <t>Referenz</t>
  </si>
  <si>
    <t>Erfüllungsgrad</t>
  </si>
  <si>
    <t>Bieterkommentar</t>
  </si>
  <si>
    <t>02_14</t>
  </si>
  <si>
    <t>1 Teillastenheft RAMS</t>
  </si>
  <si>
    <t>02_30</t>
  </si>
  <si>
    <t>2 Allgemein</t>
  </si>
  <si>
    <t>02_15</t>
  </si>
  <si>
    <t>2.1 Mindestnutzungsdauer</t>
  </si>
  <si>
    <t>02_16</t>
  </si>
  <si>
    <t xml:space="preserve">2.1.0-1 Die Mindestnutzungsdauer der COTS-Komponenten der Innenanlage muss mindestens 7 Jahre betragen. Der Betrieb muss täglich ohne Betriebspause stattfinden. </t>
  </si>
  <si>
    <t>Muss</t>
  </si>
  <si>
    <t>02_17</t>
  </si>
  <si>
    <t xml:space="preserve">2.1.0-2 Die Mindestnutzungsdauer der DSTW-Komponenten der Außenanlage muss mindestens 25 Jahre betragen. Der Betrieb muss täglich ohne Betriebspause stattfinden. </t>
  </si>
  <si>
    <t>02_18</t>
  </si>
  <si>
    <t>2.2 Verlängerung Mindestnutzungsdauer</t>
  </si>
  <si>
    <t>02_19</t>
  </si>
  <si>
    <t>2.2.0-1 Die Mindestnutzungsdauer der DSTW-Komponenten der Außenanlage kann einmalig um 5 Jahre verlängert werden.</t>
  </si>
  <si>
    <t>02_20</t>
  </si>
  <si>
    <t>2.3 Ersatzteile</t>
  </si>
  <si>
    <t>02_21</t>
  </si>
  <si>
    <t>2.3.0-1 Der AN der DSTW-Komponenten muss die Versorgung mit sämtlichen Ersatzteilen zur Aufrechthaltung des Betriebes und der vollständigen Funktionalität für die Mindestnutzungsdauer von 7 Jahren der Komponenten der Innenanlage bzw. von 25 Jahren der Komponenten der Außenanlage sicherstellen.</t>
  </si>
  <si>
    <t>02_22</t>
  </si>
  <si>
    <t>2.4 OEVE/OENORM EN 50126</t>
  </si>
  <si>
    <t>02_23</t>
  </si>
  <si>
    <t>2.4.0-1 Die Anforderungen gemäß [OEVE/OENORM EN 50126] müssen erfüllt werden.</t>
  </si>
  <si>
    <t>[79]</t>
  </si>
  <si>
    <t>02_24</t>
  </si>
  <si>
    <t>2.5 OEVE/OENORM EN 50128</t>
  </si>
  <si>
    <t>02_25</t>
  </si>
  <si>
    <t>2.5.0-1 Die Anforderungen gemäß [OEVE/OENORM EN 50128] müssen erfüllt werden.</t>
  </si>
  <si>
    <t>[136]</t>
  </si>
  <si>
    <t>02_26</t>
  </si>
  <si>
    <t>2.6 OEVE/OENORM EN 50129</t>
  </si>
  <si>
    <t>02_27</t>
  </si>
  <si>
    <t>2.6.0-1 Die Anforderungen gemäß [OEVE/OENORM EN 50129] müssen erfüllt werden.</t>
  </si>
  <si>
    <t>[80]</t>
  </si>
  <si>
    <t>02_28</t>
  </si>
  <si>
    <t>2.7 Eulynx-Anforderungen</t>
  </si>
  <si>
    <t>02_29</t>
  </si>
  <si>
    <t>2.7.0-1 Die Anforderungen gemäß Eu.Doc.93 und Eu.Doc.16 müssen erfüllt werden.</t>
  </si>
  <si>
    <t>[131], [132]</t>
  </si>
  <si>
    <t>02_31</t>
  </si>
  <si>
    <t>3 Zuverlässigkeit</t>
  </si>
  <si>
    <t>02_32</t>
  </si>
  <si>
    <t>3.1 Definition Zuverlässigkeit</t>
  </si>
  <si>
    <t>02_33</t>
  </si>
  <si>
    <t>3.1.0-1 Zuverlässigkeit: 
Die Fähigkeit, unter gegebenen Bedingungen und für ein gegebenes Zeitintervall wie gefordert ohne Ausfall zu funktionieren (Definition gemäß [OEVE/OENORM EN 50126]).</t>
  </si>
  <si>
    <t>02_34</t>
  </si>
  <si>
    <t>3.2 Folge von Fehlern und Störungen</t>
  </si>
  <si>
    <t>02_35</t>
  </si>
  <si>
    <t>3.2.0-1 Das Gesamtsystem DSTW mit seinen Schnittstellen muss derart gestaltet werden, dass weder Fehler noch Störungen zu unsicheren Zuständen führen können.</t>
  </si>
  <si>
    <t>02_36</t>
  </si>
  <si>
    <t>3.2.0-2 Fehler und Störungen und deren 4 Fehlerklassen werden im Servicevertrag definiert und beschrieben.
Diese sind:
• FK1 
Fehlerklasse 1: "EMERGENCY" 
Störungen mit erheblicher Behinderung für den Betrieb.
• FK2 
Fehlerklasse 2: "CRITICAL" 
Störungen mit erheblicher Auswirkung auf Teile (funktional/örtlich) des Betriebs oder schwerer Fehler.
• FK3 
Fehlerklasse 3 "MAJOR" 
Sonstige Störung oder erheblicher Fehler.
• FK4 
Fehlerklasse 4 "MINOR" 
Sonstige Fehler in der DSTW-ZE oder DSTW-Außenanlage.</t>
  </si>
  <si>
    <t>[160]</t>
  </si>
  <si>
    <t>02_37</t>
  </si>
  <si>
    <t>3.2.0-3 Ein rechnerischer Nachweis für die geforderte Zuverlässigkeit muss vom AN erbracht werden.
Dieser muss gemäß CENELEC-Vorgaben erfolgen.</t>
  </si>
  <si>
    <t>02_38</t>
  </si>
  <si>
    <t>3.3 Stromversorgung</t>
  </si>
  <si>
    <t>02_39</t>
  </si>
  <si>
    <t>3.3.0-1 Bei Ausfall der Stromversorgung müssen alle betroffenen VSTWs mit allen zugeordneten Komponenten der Außenanlage einen sicheren Zustand einnehmen.</t>
  </si>
  <si>
    <t>02_40</t>
  </si>
  <si>
    <t>3.4 Offenbarung von Störungen</t>
  </si>
  <si>
    <t>02_41</t>
  </si>
  <si>
    <t>3.4.0-1 Störungen, Ausfälle und Fehler des Systems DSTW müssen zur Datenregistrierung an das Umsystem BFZ gemeldet werden.</t>
  </si>
  <si>
    <t>02_42</t>
  </si>
  <si>
    <t>3.4.0-2 Störungen, Ausfälle und Fehler des Systems DSTW und seiner Schnittstellen müssen an das DDSP gemeldet werden.</t>
  </si>
  <si>
    <t>02_43</t>
  </si>
  <si>
    <t>3.5 Offenbarung von Fehler</t>
  </si>
  <si>
    <t>02_44</t>
  </si>
  <si>
    <t>3.5.0-1 Fehler dürfen keine instandhaltungstechnischen Ersatzmaßnahmen des Fdl erfordern und er darf in keine Instandhaltungstätigkeit einbezogen werden. Diese müssen durch die Instandhaltung behoben werden.</t>
  </si>
  <si>
    <t>02_45</t>
  </si>
  <si>
    <t>3.6 Komponententausch</t>
  </si>
  <si>
    <t>02_46</t>
  </si>
  <si>
    <t xml:space="preserve">3.6.0-1 Ein Tausch ausgefallener/defekter Komponenten muss rückwirkungsfrei auf den Betrieb und die Zuverlässigkeit gegenüber dem Gesamtsystem DSTW sein. </t>
  </si>
  <si>
    <t>02_47</t>
  </si>
  <si>
    <t>4 Instandhaltbarkeit</t>
  </si>
  <si>
    <t>02_48</t>
  </si>
  <si>
    <t>4.1 Definition Instandhaltbarkeit</t>
  </si>
  <si>
    <t>02_49</t>
  </si>
  <si>
    <t>4.1.0-1 Instandhaltbarkeit: 
Die Fähigkeit, unter gegebenen Anwendungs- und Instandhaltungsbedingungen in einem wie geforderten funktionsfähigen Zustand erhalten bzw. in ihn zurückversetzt werden zu können (Definition gemäß [OEVE/OENORM EN 50126]).</t>
  </si>
  <si>
    <t>02_50</t>
  </si>
  <si>
    <t>4.2 Definition Instandhaltung</t>
  </si>
  <si>
    <t>02_51</t>
  </si>
  <si>
    <t>4.2.0-1 Instandhaltung:
Instandhaltung ist der Oberbegriff für Inspektion, Wartung und Instandsetzung.</t>
  </si>
  <si>
    <t>02_52</t>
  </si>
  <si>
    <t>4.3 Grundlegende Dokumente</t>
  </si>
  <si>
    <t>02_53</t>
  </si>
  <si>
    <t>4.3.0-1 Für die Einhaltung der Instandhaltbarkeit muss das Konzept DDSP vom AN eingehalten werden.</t>
  </si>
  <si>
    <t>[133]</t>
  </si>
  <si>
    <t>02_54</t>
  </si>
  <si>
    <t>4.3.0-2 Für die Einhaltung der Instandhaltbarkeit muss das IT Inbetriebnahmekonzept vom AN eingehalten werden.</t>
  </si>
  <si>
    <t>[134]</t>
  </si>
  <si>
    <t>02_55</t>
  </si>
  <si>
    <t>4.3.0-3 Für die Einhaltung der Instandhaltbarkeit müssen die relevanten Dokumente der EULYNX-Spezifikation vom AN eingehalten werden.</t>
  </si>
  <si>
    <t>[135]</t>
  </si>
  <si>
    <t>02_56</t>
  </si>
  <si>
    <t>4.4 Lagerung Ersatzteile</t>
  </si>
  <si>
    <t>02_57</t>
  </si>
  <si>
    <t>4.4.0-1 Der AN entwickelt ein Konzept der Lagerung für die Ersatzteile, wie in der Leistungsbeschreibung beschrieben.</t>
  </si>
  <si>
    <t>[185]</t>
  </si>
  <si>
    <t>02_58</t>
  </si>
  <si>
    <t xml:space="preserve">4.4.0-2 Allfällige Angaben und Einrichtungen zur Ersatzteillagerung müssen vom AN bereit gestellt werden. Grundsätzlich sind Komponenten so zu entwickeln, dass eine Lagerhaltung mit minimalem Aufwand möglich ist. </t>
  </si>
  <si>
    <t>02_59</t>
  </si>
  <si>
    <t>4.4.0-3 Alle Ersatzteile müssen lagerfähig sein, ohne dass sie einer regelmäßigen Instandhaltung unterliegen sowie unter Spannung gehalten werden.</t>
  </si>
  <si>
    <t>02_60</t>
  </si>
  <si>
    <t>4.4.0-4 Ersatzteile müssen unter den Umgebungsbedingungen gemäß den Klimaklassen in dem &lt;03 Lastenheft Allgemeine Anforderungen&gt; 1 lagerfähig sein.</t>
  </si>
  <si>
    <t>&lt;03 Lastenheft Allgemeine Anforderungen&gt; 1</t>
  </si>
  <si>
    <t>02_61</t>
  </si>
  <si>
    <t>4.5 Kennzeichnung</t>
  </si>
  <si>
    <t>02_62</t>
  </si>
  <si>
    <t>4.5.0-1 Sämtliche Komponenten, Module der Innen- und Außenanlage inkl. Schaltschränke und Schaltkästen müssen in maschinenlesbarer Form mittels QR-Code eindeutig gekennzeichnet sein und mindestens folgende Daten aufweisen:
• Hersteller
• Type
• Sachnummer
• Geräteausgabestand (Hardware-, Firmwareversion, etc.)
• Seriennummer
• MAC-Adressen
Die konkrete Ausformung ist im Rahmen des Pflichtenheftphase mit dem AG abzustimmen.</t>
  </si>
  <si>
    <t>02_63</t>
  </si>
  <si>
    <t>4.5.0-2 Die Kennzeichnung erfolgt auf die kleinste Tauschbare Einheit, Liste beispielhaft:
• Object Controller
• StrV (Netzteile)
• Lichtpunkt
• Radsensor
• Blitzschutz
• Signalbeikasten
• separat montierbare Teile durch AN
• FES
• Server
Details müssen vom AN mit dem AG während der Pflichtenheftphase definiert werden.</t>
  </si>
  <si>
    <t>02_64</t>
  </si>
  <si>
    <t>4.5.0-3 Der QR-Code für Außenanlage muss wetterfest/witterungsfest und entsprechend montiert sein.</t>
  </si>
  <si>
    <t>02_65</t>
  </si>
  <si>
    <t>4.5.0-4 Der AN muss den QR-Code Standard bzw. Datenformat einhalten.</t>
  </si>
  <si>
    <t>02_66</t>
  </si>
  <si>
    <t>4.5.0-5 Die Seriennummer der Komponenten der Ersatzteilhaltung muss eine eindeutige Identifikation der Komponenten über die gesamte Nutzungsdauer ermöglichen.</t>
  </si>
  <si>
    <t>02_67</t>
  </si>
  <si>
    <t>4.5.0-6 Die Seriennummer der Komponenten dient der transparenten Verfolgung der Komponenten über die gesamte Nutzungsdauer (z.B. im DDSP, AVS, SAP).</t>
  </si>
  <si>
    <t>02_68</t>
  </si>
  <si>
    <t>4.6 Instandhaltungsdokumentation</t>
  </si>
  <si>
    <t>02_69</t>
  </si>
  <si>
    <t xml:space="preserve">4.6.0-1 Die Instandhaltung wird gemäß Leistungsbeschreibung und Service-Level-Agreement durchgeführt. </t>
  </si>
  <si>
    <t>02_70</t>
  </si>
  <si>
    <t xml:space="preserve">4.6.0-2 Die Instandhaltungsdokumentation muss die Inspektion, Wartung und Instandsetzung (mindestens Komponententausch, Fehlersuche, Reset, Neustart, usw.) der vom AN gelieferten Anlagen durch den AG ermöglichen. </t>
  </si>
  <si>
    <t>02_71</t>
  </si>
  <si>
    <t xml:space="preserve">4.6.0-3 Die Instandhaltungsdokumentation muss generisch erstellt und für sämtliche vom AN gelieferten Anlagen anwendbar sein. </t>
  </si>
  <si>
    <t>02_72</t>
  </si>
  <si>
    <t>4.6.0-4 Es ist nicht vorgesehen, dass der AN eine anlagenspezifische Instandhaltungsdokumentation liefert.</t>
  </si>
  <si>
    <t>02_73</t>
  </si>
  <si>
    <t>4.6.0-5 Die Instandhaltungsdokumentation muss gedruckt, elektronisch und für das DDSP zur Verfügung gestellt werden.</t>
  </si>
  <si>
    <t>02_74</t>
  </si>
  <si>
    <t xml:space="preserve">4.6.0-6 Das Dateiformat für die Instandhaltungsdokumentation im DDSP ist während der Pflichtenheftphase zwischen AG und AN abzustimmen. </t>
  </si>
  <si>
    <t>02_75</t>
  </si>
  <si>
    <t>4.7 Instandhaltungsprozess</t>
  </si>
  <si>
    <t>02_76</t>
  </si>
  <si>
    <t>4.7.0-1 Systeme, Teilsysteme und Komponenten, welche vom AN geliefert werden, müssen dem Instandhaltungsprozess, wie im Konzept DDSP definiert, entsprechen.</t>
  </si>
  <si>
    <t>02_77</t>
  </si>
  <si>
    <t>4.7.0-2 Mittels QR-Code an den einzelnen Elementen (z.B. OC) soll der Instandhalter die dazuzugehörige Service-Dokumentation aufrufen können (lokal oder vom DDSP).</t>
  </si>
  <si>
    <t>02_78</t>
  </si>
  <si>
    <t>4.8 Komponententausch</t>
  </si>
  <si>
    <t>02_79</t>
  </si>
  <si>
    <t>4.8.0-1 Eine Neukonfiguration oder Umprojektierung von Modulen darf bei fehler- und störungsbedingten Austausch durch das Instandhaltungspersonal vor Ort nicht möglich sein.</t>
  </si>
  <si>
    <t>02_80</t>
  </si>
  <si>
    <t>4.8.0-2 Object Controller müssen so konstruiert sein, dass der Tausch mit einem falschen Ersatzteil nicht möglich ist.</t>
  </si>
  <si>
    <t>02_81</t>
  </si>
  <si>
    <t>4.8.0-3 Der Tausch eines Object Controllers darf zu keiner weiteren Beeinflussung des Betriebs oder Störung führen.</t>
  </si>
  <si>
    <t>02_82</t>
  </si>
  <si>
    <t xml:space="preserve">4.8.0-4 Die Montage, Demontage und Instandsetzung von Komponenten muss mit Werkzeugen ausgeführt werden, die vom AG zu genehmigen sind. </t>
  </si>
  <si>
    <t>02_83</t>
  </si>
  <si>
    <t>4.8.0-5 Für den Tausch von Komponenten darf kein Spezialwerkzeug (welches nur für den Einsatzbereich dieser Komponente entwickelt wurde) notwendig sein.</t>
  </si>
  <si>
    <t>02_84</t>
  </si>
  <si>
    <t>4.8.0-6 Für den Tausch von Komponenten muss im Zuge der Instandhaltung nachweislich der geforderte MRT-Wert eingehalten werden.</t>
  </si>
  <si>
    <t>02_85</t>
  </si>
  <si>
    <t>4.8.0-7 Als Softwarewerkzeug für die Instandhaltung stellt der AG eine Daten-Diagnose-Service-Plattform (DDSP) bei.</t>
  </si>
  <si>
    <t>02_86</t>
  </si>
  <si>
    <t>4.8.0-8 Für die Instandhaltung dürfen zur DDSP keine zusätzlichen Apps/Applikationen/Software benötigt werden.</t>
  </si>
  <si>
    <t>02_87</t>
  </si>
  <si>
    <t>4.9 Wartungsfreiheit</t>
  </si>
  <si>
    <t>02_88</t>
  </si>
  <si>
    <t xml:space="preserve">4.9.0-1 Alle Komponenten des Rechenzentrums, die vom AN geliefert werden, müssen inspektions- und wartungsfrei sein. </t>
  </si>
  <si>
    <t>02_89</t>
  </si>
  <si>
    <t>4.9.0-2 Alle Komponenten der Außenanlage (FES, OC und Feldelemente) müssen inspektions- und wartungsfrei sein.</t>
  </si>
  <si>
    <t>02_90</t>
  </si>
  <si>
    <t xml:space="preserve">4.9.0-3 Im Betrieb sind keine manuellen Erdschlussmessungen zugelassen. </t>
  </si>
  <si>
    <t>02_91</t>
  </si>
  <si>
    <t>4.10 Arbeitnehmerschutz</t>
  </si>
  <si>
    <t>02_92</t>
  </si>
  <si>
    <t>4.10.0-1 Komponenten, Teilsysteme und Systeme, welche durch den AN geliefert werden, müssen so konzipiert sein, damit bei der Durchführung der Instandhaltungstätigkeiten durch den AG der Arbeitnehmerschutz sichergestellt wird.</t>
  </si>
  <si>
    <t>02_93</t>
  </si>
  <si>
    <t>5 Verfügbarkeit</t>
  </si>
  <si>
    <t>02_94</t>
  </si>
  <si>
    <t>5.1 Definition Verfügbarkeit</t>
  </si>
  <si>
    <t>02_95</t>
  </si>
  <si>
    <t>5.1.0-1 Verfügbarkeit: 
Die Fähigkeit, zu einem gegebenen Zeitpunkt oder während eines gegebenen Zeitintervalls
eine geforderte Funktion unter gegebenen Bedingungen erfüllen zu können, vorausgesetzt, dass die
erforderlichen äußeren Hilfsmittel bereitgestellt sind (Definition gemäß [OEVE/OENORM EN 50126]).</t>
  </si>
  <si>
    <t>02_96</t>
  </si>
  <si>
    <t>5.2 Verfügbarkeitsklassen</t>
  </si>
  <si>
    <t>02_97</t>
  </si>
  <si>
    <t>5.2.0-1 Abhängig von den geforderten Verfügbarkeitswerten werden folgende Verfügbarkeitsklassen definiert.
Diese sind:
• Klasse 1 - Verfügbarkeit beträgt 0,99999
• Klasse 2 - Verfügbarkeit beträgt 0,99995
• Klasse 3 - Verfügbarkeit beträgt 0,9999</t>
  </si>
  <si>
    <t>02_98</t>
  </si>
  <si>
    <t>5.2.0-2 Die Verfügbarkeitswerte wurden gemäß [OEVE/OENORM EN 50126] in einem Top-Down-Ansatz wie folgt ermittelt:
A = MTTF/(MTTF+MTTR)</t>
  </si>
  <si>
    <t>02_99</t>
  </si>
  <si>
    <t>5.3 DSTW-ZE-Verfügbarkeit</t>
  </si>
  <si>
    <t>02_100</t>
  </si>
  <si>
    <t>5.3.0-1 Das &lt;20 Lastenheft Rechenzentrum&gt; 1 ist eine Einheit aller DSTW-ZE (VSTW-Instanzen inklusive deren Hardware), Netzwerktechnik, Klimatisierung, zusätzlicher Applikationen (DDSP), unterbrechungsfreier Stromversorgung und dessen physischen Standorts. Das Teilsystem RZ ist räumlich auf mindestens zwei Standorte verteilt und wird durch den AG vorgegeben.</t>
  </si>
  <si>
    <t>&lt;20 Lastenheft Rechenzentrum&gt; 1</t>
  </si>
  <si>
    <t>02_101</t>
  </si>
  <si>
    <t>5.3.0-2 Um die Verfügbarkeiten der DSTW-ZE einhalten zu können, muss der AN das Betriebssystem und die funktionsbezogene Software zur Verfügung stellen.</t>
  </si>
  <si>
    <t>02_102</t>
  </si>
  <si>
    <t>5.3.0-3 Der AN muss für alle beteiligten, von ihm gelieferten bzw. ihm beigestellten, Komponenten/Systeme der DSTW-ZE (SW, Patch-Management, Betriebssystem, funktionsbezogene Software, Security, ..) die Verantwortung übernehmen.</t>
  </si>
  <si>
    <t>02_103</t>
  </si>
  <si>
    <t>5.3.0-4 Bei der Verfügbarkeitsberechnung der DSTW-ZE müssen Umsetzer bezüglich EKSA und Blockadapter integriert werden. Sie sind Teil der Gesamtverfügbarkeit der DSTW-ZE.</t>
  </si>
  <si>
    <t>02_104</t>
  </si>
  <si>
    <t>5.3.0-5 Die Verfügbarkeit der DSTW-ZE muss mindestens 0,99999 betragen.</t>
  </si>
  <si>
    <t>02_234</t>
  </si>
  <si>
    <t>5.3.0-6 Tabelle 1</t>
  </si>
  <si>
    <t>02_106</t>
  </si>
  <si>
    <t>5.3.0-7 Jede DSTW-ZE wird der Verfügbarkeitsklasse 1 zugeordnet.</t>
  </si>
  <si>
    <t>02_107</t>
  </si>
  <si>
    <t>5.3.0-8 Die Verfügbarkeit der DSTW-ZE in Bezug auf manuell zu behebende Störungen (siehe Tabelle 1) muss mindestens 0,999998 betragen.</t>
  </si>
  <si>
    <t>02_108</t>
  </si>
  <si>
    <t>5.3.0-9 Die Verfügbarkeit der DSTW-ZE in Bezug auf Fehler, welche keine betrieblichen Auswirkungen haben (siehe Tabelle 1), muss mindestens 0,997154 betragen.</t>
  </si>
  <si>
    <t>02_109</t>
  </si>
  <si>
    <t>5.3.0-10 Die Verfügbarkeit der DSTW-ZE in Bezug auf Störungen, welche durch die DSTW-ZE innerhalb von 10 Minuten automatisch selbst behoben werden (siehe Tabelle 1), muss mindestens 0,999996 betragen.</t>
  </si>
  <si>
    <t>02_110</t>
  </si>
  <si>
    <t>5.3.0-11 Die Verfügbarkeit der DSTW-ZE in Bezug auf Störungen, welche durch die DSTW-ZE innerhalb von 2 Minuten automatisch selbst behoben werden (siehe Tabelle 1), muss mindestens 0,999996 betragen.</t>
  </si>
  <si>
    <t>02_111</t>
  </si>
  <si>
    <t>5.3.0-12 "Automatisch selbsttätig beheben" im Kontext einer sicheren Rechnereinheit bedeutet Folgendes:
Nach Feststellung einer Störung nimmt eine sichere Rechnereinheit einen sicheren Zustand ein und führt einen Selbsttest durch. Nach einem erfolgreichen Selbsttest erfolgt eine automatische Wiederinbetriebnahme des gestörten Moduls.
Dies gilt auch für die weiteren Verfügbarkeitsanforderungen in diesem Kapitel.</t>
  </si>
  <si>
    <t>02_112</t>
  </si>
  <si>
    <t>5.4 VSTW-Verfügbarkeit</t>
  </si>
  <si>
    <t>02_113</t>
  </si>
  <si>
    <t>5.4.0-1 Die Verfügbarkeit des VSTW muss mindestens 0,99995 betragen.</t>
  </si>
  <si>
    <t>02_235</t>
  </si>
  <si>
    <t>5.4.0-2 Tabelle 2</t>
  </si>
  <si>
    <t>02_115</t>
  </si>
  <si>
    <t>5.4.0-3 Jedes VSTW wird der Verfügbarkeitsklasse 2 zugeordnet.</t>
  </si>
  <si>
    <t>02_116</t>
  </si>
  <si>
    <t>5.4.0-4 Die Verfügbarkeit des VSTW in Bezug auf manuell zu behebende Störungen (siehe Tabelle 2) muss mindestens 0,999979 betragen.</t>
  </si>
  <si>
    <t>02_117</t>
  </si>
  <si>
    <t>5.4.0-5 Die Verfügbarkeit des VSTW in Bezug auf Fehler, welche keine betrieblichen Auswirkungen haben (siehe Tabelle 2), muss mindestens 0,997154 betragen.</t>
  </si>
  <si>
    <t>02_118</t>
  </si>
  <si>
    <t>5.4.0-6 Die Verfügbarkeit des VSTW in Bezug auf Störungen, welche durch das VSTW innerhalb von 10 Minuten automatisch selbst behoben werden (siehe Tabelle 2), muss mindestens 0,99999 betragen.</t>
  </si>
  <si>
    <t>02_119</t>
  </si>
  <si>
    <t>5.4.0-7 Die Verfügbarkeit des VSTW in Bezug auf Störungen, welche durch das VSTW innerhalb von 2 Minuten automatisch selbst behoben werden (siehe Tabelle 2), muss mindestens 0,999996 betragen.</t>
  </si>
  <si>
    <t>02_120</t>
  </si>
  <si>
    <t>5.4.0-8 Erweiterungen und/oder Änderungen der VSTW-Software (Software Updates/Upgrades, Projektierungs-, oder Konfigurationsänderungen) dürfen nicht zur Einschränkung des Betriebs unter die erlaubte Verfügbarkeit führen. Während der Durchführung eines Softwaretauschs muss der Betrieb durch eine Redundanz übernommen werden.</t>
  </si>
  <si>
    <t>02_121</t>
  </si>
  <si>
    <t>5.5 SiDiNet-Verfügbarkeiten</t>
  </si>
  <si>
    <t>02_122</t>
  </si>
  <si>
    <t>5.5.0-1 Das SiDiNet wird durch den AG realisiert. Die Anforderungen sind im &lt;22 Lastenheft Netze&gt; 1 spezifiziert und müssen vom AN nicht beachtet werden.</t>
  </si>
  <si>
    <t>&lt;22 Lastenheft Netze&gt; 1</t>
  </si>
  <si>
    <t>02_123</t>
  </si>
  <si>
    <t>5.6 FES-Verfügbarkeit</t>
  </si>
  <si>
    <t>02_124</t>
  </si>
  <si>
    <t>5.6.0-1 Die Verfügbarkeit des FES muss mindestens 0,99995 betragen.</t>
  </si>
  <si>
    <t>02_236</t>
  </si>
  <si>
    <t>5.6.0-2 Tabelle 3</t>
  </si>
  <si>
    <t>02_126</t>
  </si>
  <si>
    <t>5.6.0-3 Die FES (Feldelementstation) wird der Verfügbarkeitsklasse 2 zugeordnet.</t>
  </si>
  <si>
    <t>02_127</t>
  </si>
  <si>
    <t>5.6.0-4 Die Verfügbarkeit der FES in Bezug auf manuell zu behebende Störungen (siehe Tabelle 3) muss mindestens 0,999979 betragen.</t>
  </si>
  <si>
    <t>02_128</t>
  </si>
  <si>
    <t>5.6.0-5 Die Verfügbarkeit der FES in Bezug auf Fehler, welche keine betrieblichen Auswirkungen haben (siehe Tabelle 3), muss mindestens 0,997154 betragen.</t>
  </si>
  <si>
    <t>02_129</t>
  </si>
  <si>
    <t>5.6.0-6 Die Verfügbarkeit der FES in Bezug auf Störungen, welche in der FES innerhalb von 10 Minuten automatisch selbst behoben werden (siehe Tabelle 3), muss mindestens 0,99999 betragen.</t>
  </si>
  <si>
    <t>02_130</t>
  </si>
  <si>
    <t>5.6.0-7 Die Verfügbarkeit der FES in Bezug auf Störungen, welche in der FES innerhalb von 2 Minuten automatisch selbst behoben werden (siehe Tabelle 3), muss mindestens 0,999996 betragen.</t>
  </si>
  <si>
    <t>02_131</t>
  </si>
  <si>
    <t>5.7 OC-Verfügbarkeit</t>
  </si>
  <si>
    <t>02_132</t>
  </si>
  <si>
    <t>5.7.0-1 Die Verfügbarkeit der OC (LS, P, TDS, Gen IO) muss mindestens 0,9999 betragen.</t>
  </si>
  <si>
    <t>02_237</t>
  </si>
  <si>
    <t>5.7.0-2 Tabelle 4</t>
  </si>
  <si>
    <t>02_134</t>
  </si>
  <si>
    <t>5.7.0-3 Ein OC wird der Verfügbarkeitsklasse 3 zugeordnet.</t>
  </si>
  <si>
    <t>02_135</t>
  </si>
  <si>
    <t>5.7.0-4 Die Verfügbarkeit des OC in Bezug auf manuell zu behebende Störungen (siehe Tabelle 4) muss mindestens 0,999957 betragen.</t>
  </si>
  <si>
    <t>02_136</t>
  </si>
  <si>
    <t>5.7.0-5 Die Verfügbarkeit des OC in Bezug auf Fehler, welche keine betrieblichen Auswirkungen haben (siehe Tabelle 4), muss mindestens 0,997154 betragen.</t>
  </si>
  <si>
    <t>02_137</t>
  </si>
  <si>
    <t>5.7.0-6 Die Verfügbarkeit des OC in Bezug auf Störungen, welche von dem OC innerhalb von 10 Minuten automatisch selbst behoben werden (siehe Tabelle 4), muss mindestens 0,99999 betragen.</t>
  </si>
  <si>
    <t>02_138</t>
  </si>
  <si>
    <t>5.7.0-7 Die Verfügbarkeit des OC in Bezug auf Störungen, welche von dem OC innerhalb von 2 Minuten automatisch selbst behoben werden (siehe Tabelle 4), muss mindestens 0,999996 betragen.</t>
  </si>
  <si>
    <t>02_139</t>
  </si>
  <si>
    <t xml:space="preserve">5.7.0-8 Erweiterungen und/oder Änderungen der OC-Software (Software Updates/Upgrades, Projektierungs-, oder Konfigurationsänderungen) dürfen nicht zur Einschränkung des Betriebs unter die erlaubte Verfügbarkeit führen. </t>
  </si>
  <si>
    <t>02_140</t>
  </si>
  <si>
    <t>5.8 Monitoringsystem FRACAS</t>
  </si>
  <si>
    <t>02_141</t>
  </si>
  <si>
    <t>5.8.0-1 Der AN muss ein FRACAS-System gemäß CENELEC-Norm EN50126-1 dem AG für alle zu liefernden Systeme und Subsysteme zur Verfügung stellen.</t>
  </si>
  <si>
    <t>02_142</t>
  </si>
  <si>
    <t>5.8.0-2 Der AN muss mittels FRACAS die Einhaltung der geforderten Verfügbarkeitswerte (Rechenzentrum, VSTW, FES, OC) innerhalb von 5 Jahren nach IBN des ersten VSTW nachweisen.</t>
  </si>
  <si>
    <t>02_143</t>
  </si>
  <si>
    <t>5.8.0-3 Mittels dem FRACAS-System muss die Verfügbarkeit jeder einzelnen DSTW-Komponenten (VSTW, Feldelementstation, OC) überwacht und die Einhaltung der Verfügbarkeitsanforderungen nachgewiesen werden.</t>
  </si>
  <si>
    <t>02_144</t>
  </si>
  <si>
    <t>5.8.0-4 Das FRACAS-System muss dem AG regelmäßige Reports bereitstellen.</t>
  </si>
  <si>
    <t>02_145</t>
  </si>
  <si>
    <t>5.8.0-5 Im Berichtswesen sollen beispielsweise Angaben wie Verfügbarkeit der Klassen 1 bis 3 angezeigt werden. Dabei sollte weitestgehend die Angabe der Verfügbarkeit bis in die Modulebene (Modul siehe Definition DSTW) mit der Angabe des Ausfallgrundes angezeigt/ausgewiesen werden.</t>
  </si>
  <si>
    <t>Soll</t>
  </si>
  <si>
    <t>02_146</t>
  </si>
  <si>
    <t>5.8.0-6 Die geforderte Verfügbarkeit ist entsprechend der Verfügbarkeit der Standard ÖBB-Entstörprozesse einzuhalten: 
• SLA 5 Minuten: VSTW; 
• SLA 30 Minuten: Feldelementstation und OC.</t>
  </si>
  <si>
    <t>02_147</t>
  </si>
  <si>
    <t>5.8.0-7 Der AN muss die Verfügbarkeit der einzelnen, gelieferten Systeme überwachen und nachweisen.</t>
  </si>
  <si>
    <t>02_148</t>
  </si>
  <si>
    <t>5.8.0-8 Der AG stellt den AN für die Nachweisführung der Verfügbarkeit die erforderlichen Informationen aus dem MDM/DDSP zur Verfügung.</t>
  </si>
  <si>
    <t>02_149</t>
  </si>
  <si>
    <t>5.8.0-9 Der Systemintegrator (Lieferant des VSTW) muss die Verfügbarkeit des Gesamtsystems inklusive aller Teilsysteme überwachen und nachweisen.</t>
  </si>
  <si>
    <t>02_150</t>
  </si>
  <si>
    <t>5.8.0-10 Die Verantwortung für jegliche notwendige Abstimmung, Aufgrund von nicht einhalten der Verfügbarkeit, liegt beim Systemintegrator (Lieferant des VSTW). Der Lieferant der Teilsysteme hat konstruktive Mitwirkungspflicht bei diesen Abstimmungen.</t>
  </si>
  <si>
    <t>02_151</t>
  </si>
  <si>
    <t>5.9 Planmäßiger Software bzw. Hardwaretausch</t>
  </si>
  <si>
    <t>02_152</t>
  </si>
  <si>
    <t>5.9.0-1 Ein planmäßiges Servicesoftwareupgrade bzw. ein planmäßiger Hardwaretausch muss rückwirkungsfrei auf den Betrieb und die Verfügbarkeit gegenüber dem Gesamtsystem DSTW sein. Der Bahnbetrieb muss weiterhin unterbrechungsfrei gewährleistet sein und es dürfen keine betrieblichen Ausfallzeiten entstehen.</t>
  </si>
  <si>
    <t>02_153</t>
  </si>
  <si>
    <t>6 Safety</t>
  </si>
  <si>
    <t>02_154</t>
  </si>
  <si>
    <t>6.1 Sicherheitsanforderungen DSTW</t>
  </si>
  <si>
    <t>02_239</t>
  </si>
  <si>
    <t>6.1.0-1 Im Rahmen von EULYNX wurden folgende relevante DSTW-Funktionen und -Unterfunktionen bzw. Sicherheitsanforderungen identifiziert: 
Tabelle 5: Sicherheitsanforderungen DSTW</t>
  </si>
  <si>
    <t>[81]</t>
  </si>
  <si>
    <t>02_240</t>
  </si>
  <si>
    <t>6.1.0-2 Für jedes einzelne Teilsystem und für jede entsprechende Schnittstelle wurden THR-Werte abhängig von den Sicherheitsanforderungen des DSTW ermittelt. Gemäß [OEVE/OENORM EN 50129] wurde jedem sicherheitsrelevanten Teilsystem und den Schnittstellen ein SIL-Level zugewiesen. Diese sind: 
Tabelle 6: SIL-Allokation der sicherheitsrelevanten Teilsysteme und Schnittstellen</t>
  </si>
  <si>
    <t>[80], [81]</t>
  </si>
  <si>
    <t>02_157</t>
  </si>
  <si>
    <t>6.2 THR ( /h) Teilsystem VSTW</t>
  </si>
  <si>
    <t>02_158</t>
  </si>
  <si>
    <t>6.2.0-1 Der THR Wert des Teilsystems VSTW muss kleiner gleich 1.0E-9 1/h sein</t>
  </si>
  <si>
    <t>02_159</t>
  </si>
  <si>
    <t>6.3 THR ( /h) Teilsystem Lichtsignal</t>
  </si>
  <si>
    <t>02_160</t>
  </si>
  <si>
    <t>6.3.0-1 Der THR Wert des Teilsystems LS muss kleiner gleich 1.0E-9 1/h sein</t>
  </si>
  <si>
    <t>02_161</t>
  </si>
  <si>
    <t>6.4 THR ( /h) Teilsystem Weiche</t>
  </si>
  <si>
    <t>02_162</t>
  </si>
  <si>
    <t>6.4.0-1 Der THR Wert des Teilsystems Weiche muss kleiner gleich 1.0E-9 1/h sein</t>
  </si>
  <si>
    <t>02_163</t>
  </si>
  <si>
    <t>6.5 THR ( /h) Teilsystem TDS</t>
  </si>
  <si>
    <t>02_164</t>
  </si>
  <si>
    <t>6.5.0-1 Der THR Wert des Teilsystems TDS muss kleiner gleich 1.0E-9 1/h sein</t>
  </si>
  <si>
    <t>02_165</t>
  </si>
  <si>
    <t>6.6 THR ( /h) Teilsystem EA</t>
  </si>
  <si>
    <t>02_166</t>
  </si>
  <si>
    <t>6.6.0-1 Der THR Wert des Teilsystems EA muss kleiner gleich 1.0E-9 1/h sein</t>
  </si>
  <si>
    <t>02_167</t>
  </si>
  <si>
    <t>6.7 THR ( /h) Teilsystem EKSA</t>
  </si>
  <si>
    <t>02_168</t>
  </si>
  <si>
    <t>6.7.0-1 Der THR Wert des Teilsystems EKSA muss kleiner gleich 1.0E-9 1/h sein</t>
  </si>
  <si>
    <t>02_169</t>
  </si>
  <si>
    <t>6.8 Schnittstelle - SIL4</t>
  </si>
  <si>
    <t>02_170</t>
  </si>
  <si>
    <t>6.8.0-1 Der Einsatz der erforderlichen Schnittstellen (X25oRaSTA, EULYNX) muss derart erfolgen, dass die funktionalen Gefährdungsraten der beteiligten Subsysteme nicht erhöht werden.</t>
  </si>
  <si>
    <t>02_171</t>
  </si>
  <si>
    <t xml:space="preserve">6.8.0-2 Die Schnittstellen des VSTW zu den Umsystemen ILS, RBC, EKSA, SCWS (Trackworker Safety System) und BFZ (TCS) müssen Anforderungen gemäß dem Safety Integrity Level 4 (SIL4) erfüllen. </t>
  </si>
  <si>
    <t>02_172</t>
  </si>
  <si>
    <t>6.8.0-3 Die Schnittstellen des VSTW SCI-LS, SCI-TDS, SCI-P, SCI-IO zu den OCs Lichtsignal, Gleisfreimeldung, Weiche, Ein-/und Ausgabeelement müssen Anforderungen gemäß dem Safety Integrity Level 4 (SIL4) erfüllen.</t>
  </si>
  <si>
    <t>02_173</t>
  </si>
  <si>
    <t>6.9 Schnittstelle - Basis Integrität (BI)</t>
  </si>
  <si>
    <t>02_174</t>
  </si>
  <si>
    <t>6.9.0-1 Die Schnittstellen VSTW - MDM und VSTW - Stromversorgung müssen Anforderungen gemäß der Basis Integrität (BI) erfüllen.</t>
  </si>
  <si>
    <t>02_175</t>
  </si>
  <si>
    <t>6.9.0-2 Die Entwicklung des DSTW muss gemäß der Sicherheitsanforderungsstufe SIL4 erfolgen und die dafür in [OEVE/OENORM EN 50129] vorgeschriebenen Verfahren und Techniken berücksichtigen.</t>
  </si>
  <si>
    <t>02_176</t>
  </si>
  <si>
    <t>6.9.0-3 Die Software-Entwicklung des VSTW und der OCs muss gemäß der festgelegten Software-Sicherheitsanforderungsstufe erfolgen und die dafür in [OEVE/OENORM EN 50128] vorgeschriebenen Verfahren und Techniken berücksichtigen.</t>
  </si>
  <si>
    <t>02_177</t>
  </si>
  <si>
    <t>6.9.0-4 Der Lieferant/Hersteller des DSTW muss die Sicherheitsnachweise gemäß [OEVE/OENORM EN 50129] erstellen.</t>
  </si>
  <si>
    <t>02_178</t>
  </si>
  <si>
    <t>6.9.0-5 Für Datenkommunikation über offene und geschlossene Netze muss [OEVE/OENORM EN 50159] eingehalten werden.</t>
  </si>
  <si>
    <t>[164]</t>
  </si>
  <si>
    <t>02_179</t>
  </si>
  <si>
    <t>6.9.0-6 Der Lieferant/Hersteller des DSTW muss Maßnahmen zum Schutz vor Missbrauch der streckenseitigen Elemente mit dem AG abstimmen und festlegen.</t>
  </si>
  <si>
    <t>02_180</t>
  </si>
  <si>
    <t>6.10 Wartung</t>
  </si>
  <si>
    <t>02_181</t>
  </si>
  <si>
    <t>6.10.0-1 Aus den CENELEC-Phasen 5 bis 10 dürfen keine SRACs an die Instandhaltung resultieren.</t>
  </si>
  <si>
    <t>02_182</t>
  </si>
  <si>
    <t>6.10.0-2 Durch die Durchführung von Instandhaltungstätigkeiten dürfen keine unsicheren Zustände hergestellt werden können. Der Sicherheitsnachweis darf keine keine Sicherungstechnische Schulung/Ausbildung als Grundlage zur Befähigung für die Instandhaltung der NW-Komponenten fordern.</t>
  </si>
  <si>
    <t>02_183</t>
  </si>
  <si>
    <t>6.11 Stromversorgung</t>
  </si>
  <si>
    <t>02_184</t>
  </si>
  <si>
    <t>6.11.0-1 Bei Ausfall der Stromversorgung muss das VSTW und jegliche Komponenten der Außenanlage den sicheren Zustand einnehmen.</t>
  </si>
  <si>
    <t>02_185</t>
  </si>
  <si>
    <t>6.12 Security</t>
  </si>
  <si>
    <t>02_186</t>
  </si>
  <si>
    <t>6.12.0-1 Die Anforderungen an IT-Security werden im separaten LH Security spezifiziert.
Die Anforderungen an physikalische Security werden im LH Allgemeine Anforderungen spezifiziert.</t>
  </si>
  <si>
    <t>&lt;04 Lastenheft Security&gt; 1</t>
  </si>
  <si>
    <t>02_187</t>
  </si>
  <si>
    <t>6.13 Datenkonfigurationsprozess</t>
  </si>
  <si>
    <t>02_188</t>
  </si>
  <si>
    <t>6.13.0-1 Der AN muss einen zertifizierten CENELEC-konformen Datenkonfigurationsprozess für das System VSTW, Teilsysteme (OCs) und aller Schnittstellen zu den Teilsystemen und Umsystemen vorweisen.</t>
  </si>
  <si>
    <t>02_189</t>
  </si>
  <si>
    <t>6.14 Safety Case</t>
  </si>
  <si>
    <t>02_190</t>
  </si>
  <si>
    <t>6.14.0-1 Die Gültigkeit des Sicherheitsnachweises darf zeitlich nicht beschränkt sein.</t>
  </si>
  <si>
    <t>02_191</t>
  </si>
  <si>
    <t>7 Annahmen</t>
  </si>
  <si>
    <t>02_192</t>
  </si>
  <si>
    <t>7.0-1 Es wird davon ausgegangen, dass für Spannungsversorgungen oder Wartungsschnittstellen kein Sicherheitslevel erforderlich ist.</t>
  </si>
  <si>
    <t>02_193</t>
  </si>
  <si>
    <t>7.0-2 Es wird davon ausgegangen, dass für das MDM kein Sicherheitslevel erforderlich ist.</t>
  </si>
  <si>
    <t>02_194</t>
  </si>
  <si>
    <t>7.0-3 Es wird davon ausgegangen, dass Security im Sinne der Safety als nicht sicherheitsrelevant zu bewerten ist. Daher werden alle Security-Betrachtungen in diesem LH RAMS ausgeschlossen.</t>
  </si>
  <si>
    <t>02_195</t>
  </si>
  <si>
    <t>7.0-4 Bei der Verfügbarkeitsberechung wird für die manuelle Behebung einer Störung eine MRT von 0,5 h angenommen.</t>
  </si>
  <si>
    <t>02_196</t>
  </si>
  <si>
    <t>7.0-5 Bei der Verfügbarkeitsberechung wird für die manuelle Behebung eines Fehlers eine MRT von 1 h angenommen.</t>
  </si>
  <si>
    <t>Wie hängen die FK mit Verfügbarkeitsklassen zusammen</t>
  </si>
  <si>
    <t>Verfügbarkeitsklasse</t>
  </si>
  <si>
    <t>secs/y</t>
  </si>
  <si>
    <t>DSTW-ZE</t>
  </si>
  <si>
    <t>DSTW-ZE-Verfügbarkeit</t>
  </si>
  <si>
    <t>Störung Rechenzentrum
Gesamt</t>
  </si>
  <si>
    <t>Störung Rechenzentrum
(Behebung Manuell)</t>
  </si>
  <si>
    <t>Störung Rechenzentrum
10 min(selbststtätig beheben)</t>
  </si>
  <si>
    <t>Störung Rechenzentrum
2 min(selbststtätig beheben)</t>
  </si>
  <si>
    <t>Fehler Rechenzentrum</t>
  </si>
  <si>
    <t>MRT: Mean repair time (h)</t>
  </si>
  <si>
    <t>MTTR: Mean time to restore (h)</t>
  </si>
  <si>
    <t>MTTF: Mean time to fail (h)</t>
  </si>
  <si>
    <t>Availability (%)</t>
  </si>
  <si>
    <t>0,997154, plausibel, geringe Verfügbarkeit weil betrieblich nicht Relevant</t>
  </si>
  <si>
    <t>Verfügbarkeit VSTW</t>
  </si>
  <si>
    <t>Störung VSTW
Gesamt</t>
  </si>
  <si>
    <t>Störung VSTW
(Behebung Manuell)</t>
  </si>
  <si>
    <t>Störung VSTW
10 min(selbststtätig beheben)</t>
  </si>
  <si>
    <t>Störung VSTW
2 min(selbststtätig beheben)</t>
  </si>
  <si>
    <t>Fehler VSTW</t>
  </si>
  <si>
    <t>Verfügbarkeit FES</t>
  </si>
  <si>
    <t>FES</t>
  </si>
  <si>
    <t>Verfügbarkeit OC</t>
  </si>
  <si>
    <t>OC</t>
  </si>
  <si>
    <t>DSTW-ZE-Verfügbarkeit = Klasse 1</t>
  </si>
  <si>
    <t>Fehler Rechenzentrum
(keine betriebl. Auswirkung)</t>
  </si>
  <si>
    <t>Verfügbarkeit VSTW = Klasse 2</t>
  </si>
  <si>
    <t>Fehler VSTW 
(keine betriebl. Auswirkung)</t>
  </si>
  <si>
    <t>Definitions (IEC 60050-192:2015)</t>
  </si>
  <si>
    <t>Verfügbarkeit FES = Klasse 2</t>
  </si>
  <si>
    <t>MTTF: expectation of the operating time to failure</t>
  </si>
  <si>
    <t>Störung FES
Gesamt</t>
  </si>
  <si>
    <t>Störung FES
(Behebung Manuell)</t>
  </si>
  <si>
    <t>Störung FES
10 min(selbststtätig beheben)</t>
  </si>
  <si>
    <t>Störung FES
2 min(selbststtätig beheben)</t>
  </si>
  <si>
    <t>Fehler FES
(keine betriebl. Auswirkung)</t>
  </si>
  <si>
    <t>In the case of non-repairable items with an exponential distribution of</t>
  </si>
  <si>
    <t>operating times to failure (i.e. a constant failure rate) the MTTF is numerically equal to the</t>
  </si>
  <si>
    <t>reciprocal of the failure rate. This is also true for repairable items if after restoration they can</t>
  </si>
  <si>
    <t>be considered to be "as-good-as-new".</t>
  </si>
  <si>
    <t>MRT: mittlere Reparaturdauer</t>
  </si>
  <si>
    <t>Verfügbarkeit OC = Klasse 3</t>
  </si>
  <si>
    <t>MTTR: mittlere Dauer bis zur Wiederherstellung</t>
  </si>
  <si>
    <t>Störung OC
Gesamt</t>
  </si>
  <si>
    <t>Störung OC
(Behebung Manuell)</t>
  </si>
  <si>
    <t>Störung OC
10 min(selbststtätig beheben)</t>
  </si>
  <si>
    <t>Störung OC
2 min(selbststtätig beheben)</t>
  </si>
  <si>
    <t>Fehler OC
 (keine betriebl. Auswirkung)</t>
  </si>
  <si>
    <t>operating time to failure, &lt;of an item&gt;</t>
  </si>
  <si>
    <t>operating time accumulated from the first use, or from restoration, until failure</t>
  </si>
  <si>
    <t>Tables adapted by RAM:</t>
  </si>
  <si>
    <t>5,25min</t>
  </si>
  <si>
    <t>30min</t>
  </si>
  <si>
    <t>60min</t>
  </si>
  <si>
    <t>62,5min</t>
  </si>
  <si>
    <t>1500min</t>
  </si>
  <si>
    <t>1 year</t>
  </si>
  <si>
    <t>5 years</t>
  </si>
  <si>
    <t>26,25min</t>
  </si>
  <si>
    <t>225min</t>
  </si>
  <si>
    <t>20 years</t>
  </si>
  <si>
    <t>2 years</t>
  </si>
  <si>
    <t>Störung FES 
Gesamt</t>
  </si>
  <si>
    <t>Störung FES 
(Behebung Manuell)</t>
  </si>
  <si>
    <t>Störung FES 
10 min(selbststtätig beheben)</t>
  </si>
  <si>
    <t>Störung FES 
2 min(selbststtätig beheben)</t>
  </si>
  <si>
    <t>52,5min</t>
  </si>
  <si>
    <t>10 years</t>
  </si>
  <si>
    <t>Klasse</t>
  </si>
  <si>
    <t>Dauer (min)</t>
  </si>
  <si>
    <t>Behebung</t>
  </si>
  <si>
    <t>Häufigkeit [pro Jahr]</t>
  </si>
  <si>
    <t>zulässige Ausfallzeit 
[min pro Jahr]</t>
  </si>
  <si>
    <t>Verfügbarkeit [%]</t>
  </si>
  <si>
    <t>Gesamt</t>
  </si>
  <si>
    <t>entspr. SLA</t>
  </si>
  <si>
    <t>Wartungspersonal</t>
  </si>
  <si>
    <r>
      <t xml:space="preserve">2&lt;Dauer </t>
    </r>
    <r>
      <rPr>
        <sz val="10"/>
        <rFont val="Calibri"/>
        <family val="2"/>
      </rPr>
      <t>≤</t>
    </r>
    <r>
      <rPr>
        <sz val="10"/>
        <rFont val="Arial"/>
        <family val="2"/>
      </rPr>
      <t xml:space="preserve"> 10</t>
    </r>
  </si>
  <si>
    <t>selbsttätig</t>
  </si>
  <si>
    <t>Dauer  ≤ 2</t>
  </si>
  <si>
    <t xml:space="preserve"> keine betriebl Auswirkung</t>
  </si>
  <si>
    <t>Fehler VSTW/FES</t>
  </si>
  <si>
    <t>Fehler OC</t>
  </si>
  <si>
    <t>nano</t>
  </si>
  <si>
    <t>MTTR_1h</t>
  </si>
  <si>
    <t>MTTR_4h</t>
  </si>
  <si>
    <t>MTTR_8h</t>
  </si>
  <si>
    <t>MTTR_15min</t>
  </si>
  <si>
    <t>MTTR_10min</t>
  </si>
  <si>
    <t>MTTR_5min</t>
  </si>
  <si>
    <t>MTTR_3min</t>
  </si>
  <si>
    <t>MTTR_2min</t>
  </si>
  <si>
    <t>MTTR_1min</t>
  </si>
  <si>
    <t>hours_per_year</t>
  </si>
  <si>
    <t>min_per_year</t>
  </si>
  <si>
    <t>secs_per_year</t>
  </si>
  <si>
    <t>MTTR_3sec</t>
  </si>
  <si>
    <t>1oo4</t>
  </si>
  <si>
    <t>CN1</t>
  </si>
  <si>
    <t xml:space="preserve">Master </t>
  </si>
  <si>
    <t>CN2</t>
  </si>
  <si>
    <t>Slave1</t>
  </si>
  <si>
    <t>ßFaktor</t>
  </si>
  <si>
    <t>CN3</t>
  </si>
  <si>
    <t>Slave2</t>
  </si>
  <si>
    <t>Wir haben 2 verschiedene Fehlerraten</t>
  </si>
  <si>
    <t>CN4</t>
  </si>
  <si>
    <t>Slave3</t>
  </si>
  <si>
    <t>Wir haben nur eine MTTR</t>
  </si>
  <si>
    <t>u1=u2</t>
  </si>
  <si>
    <t>fr1*fr2*(2*mttr)/mttr^2</t>
  </si>
  <si>
    <t>Switch1oo2 hot</t>
  </si>
  <si>
    <t xml:space="preserve">MTTR=8h, wie in EL2RAMANA, </t>
  </si>
  <si>
    <t>Mttr 8 for manual exchange of faulty component with no impact on operation</t>
  </si>
  <si>
    <t>we have 8h which is usefull for corrective maintenance of defect components.</t>
  </si>
  <si>
    <t>MTTR 8h --&gt; as in RAM ANA EL2</t>
  </si>
  <si>
    <t>for Switch</t>
  </si>
  <si>
    <t>MTTR 1h --&gt; for 2oo2 with no redundancy</t>
  </si>
  <si>
    <t>for CN 2oo2</t>
  </si>
  <si>
    <t>MTTR 1min --&gt; for CN1-CN2 hot</t>
  </si>
  <si>
    <t>for CN1-CN2</t>
  </si>
  <si>
    <t>Servers per cabinet</t>
  </si>
  <si>
    <t>Control Plane</t>
  </si>
  <si>
    <t xml:space="preserve">*1-10 </t>
  </si>
  <si>
    <t>*1-3</t>
  </si>
  <si>
    <t>Data Storage</t>
  </si>
  <si>
    <t>Servers total</t>
  </si>
  <si>
    <t>mehr als eine Zelle betroffen,  &gt;  8 VSTW</t>
  </si>
  <si>
    <t>eine Zelle betoffen, bis zu 8 VSTW</t>
  </si>
  <si>
    <t>Update für 3tes Angebot</t>
  </si>
  <si>
    <t>Tab 02.Failure Rates angepasst basierend auf Datasheet: 3BU 16030 AAAA DSAPA Ed. 03, Data sheet HPE ProLiant DL345 Gen 11 AMD Server</t>
  </si>
  <si>
    <t>Tab 4.1 Calculations 2x(2oo2) angepasst mit aktualiserten Fehlerraten</t>
  </si>
  <si>
    <t>Anforderung OC/Block/EKSA</t>
  </si>
  <si>
    <t>Real λ</t>
  </si>
  <si>
    <t>λ</t>
  </si>
  <si>
    <t>Failure first year</t>
  </si>
  <si>
    <t>μ</t>
  </si>
  <si>
    <t>not applicable</t>
  </si>
  <si>
    <t>MRT = 0,5</t>
  </si>
  <si>
    <t>EL4-DIL-SSS-REQ-00307</t>
  </si>
  <si>
    <t>The network availability of a [DIL] location shall be at least 99.999 9%.</t>
  </si>
  <si>
    <t>Site 1</t>
  </si>
  <si>
    <t>Total</t>
  </si>
  <si>
    <t>Site 2</t>
  </si>
  <si>
    <t>Georedundant Connection</t>
  </si>
  <si>
    <t>Beta = 1%</t>
  </si>
  <si>
    <t>Beta = 10%</t>
  </si>
  <si>
    <t>Split Brain = 2 links between Sites, both are down at the same time.</t>
  </si>
  <si>
    <t>1) We take IPS Availability as basis</t>
  </si>
  <si>
    <t>REQ-01480: Availability — IPS — Overall: The IPS shall have a class 1 overall availability of at least 99.999%</t>
  </si>
  <si>
    <t>An Availability of 99.999% leads to an Unavailability of:</t>
  </si>
  <si>
    <t>2) Internal Network Availability = 99.999 9%</t>
  </si>
  <si>
    <t>REQ-00307: The network availability of a DIL location shall be at least 99.9999%</t>
  </si>
  <si>
    <t>only for the internal network at one site, leads to Unavailability of:</t>
  </si>
  <si>
    <t>3) CCF considerations:</t>
  </si>
  <si>
    <r>
      <t xml:space="preserve">The two geo‑links run along physically separate cable routes, but both are operated by ÖBB. This results in a common organisational failure mode (CCF). In accordance with IEC 61508‑6 Annex D, a CCF factor </t>
    </r>
    <r>
      <rPr>
        <i/>
        <sz val="10"/>
        <rFont val="Arial"/>
        <family val="2"/>
      </rPr>
      <t>β</t>
    </r>
    <r>
      <rPr>
        <sz val="10"/>
        <rFont val="Arial"/>
        <family val="2"/>
      </rPr>
      <t xml:space="preserve"> is assessed.</t>
    </r>
  </si>
  <si>
    <t>β = 0.02</t>
  </si>
  <si>
    <t>4) Allocation to IPS Unavailability</t>
  </si>
  <si>
    <r>
      <t xml:space="preserve">The geo‑link double failure (split‑brain) is one of several failure modes and a share of </t>
    </r>
    <r>
      <rPr>
        <b/>
        <sz val="10"/>
        <rFont val="Arial"/>
        <family val="2"/>
      </rPr>
      <t>α = 10%</t>
    </r>
    <r>
      <rPr>
        <sz val="10"/>
        <rFont val="Arial"/>
        <family val="2"/>
      </rPr>
      <t xml:space="preserve"> is assigned to the geo‑link dual failure." (very conservative estimation)</t>
    </r>
  </si>
  <si>
    <t>5)  Availability estimation of geo-link</t>
  </si>
  <si>
    <t>Unavailability-Budget of IPS (U_IPS =1E-05)</t>
  </si>
  <si>
    <r>
      <t> P_Split-Brain = </t>
    </r>
    <r>
      <rPr>
        <b/>
        <sz val="10"/>
        <rFont val="Arial"/>
        <family val="2"/>
      </rPr>
      <t>α</t>
    </r>
    <r>
      <rPr>
        <sz val="10"/>
        <rFont val="Arial"/>
        <family val="2"/>
      </rPr>
      <t xml:space="preserve"> × U_IPS = 0,10 × 1×</t>
    </r>
    <r>
      <rPr>
        <b/>
        <sz val="10"/>
        <rFont val="Arial"/>
        <family val="2"/>
      </rPr>
      <t>1E-05</t>
    </r>
    <r>
      <rPr>
        <sz val="10"/>
        <rFont val="Arial"/>
        <family val="2"/>
      </rPr>
      <t xml:space="preserve"> = 1×</t>
    </r>
    <r>
      <rPr>
        <b/>
        <sz val="10"/>
        <rFont val="Arial"/>
        <family val="2"/>
      </rPr>
      <t>1E-06</t>
    </r>
  </si>
  <si>
    <r>
      <t>P_Split-Brain = </t>
    </r>
    <r>
      <rPr>
        <b/>
        <sz val="10"/>
        <rFont val="Arial"/>
        <family val="2"/>
      </rPr>
      <t>1E-06</t>
    </r>
    <r>
      <rPr>
        <sz val="10"/>
        <rFont val="Arial"/>
        <family val="2"/>
      </rPr>
      <t> and </t>
    </r>
    <r>
      <rPr>
        <b/>
        <sz val="10"/>
        <rFont val="Arial"/>
        <family val="2"/>
      </rPr>
      <t>β = 0.02</t>
    </r>
  </si>
  <si>
    <r>
      <t>U_Link ≤ 1*</t>
    </r>
    <r>
      <rPr>
        <b/>
        <sz val="10"/>
        <rFont val="Arial"/>
        <family val="2"/>
      </rPr>
      <t>1E-06</t>
    </r>
    <r>
      <rPr>
        <sz val="10"/>
        <rFont val="Arial"/>
        <family val="2"/>
      </rPr>
      <t> / 0.02 = </t>
    </r>
    <r>
      <rPr>
        <b/>
        <sz val="10"/>
        <rFont val="Arial"/>
        <family val="2"/>
      </rPr>
      <t>5E-05</t>
    </r>
  </si>
  <si>
    <r>
      <t>A_Link ≥ 1 - </t>
    </r>
    <r>
      <rPr>
        <b/>
        <sz val="10"/>
        <rFont val="Arial"/>
        <family val="2"/>
      </rPr>
      <t>5E-05</t>
    </r>
    <r>
      <rPr>
        <sz val="10"/>
        <rFont val="Arial"/>
        <family val="2"/>
      </rPr>
      <t xml:space="preserve"> = 0.99995 = </t>
    </r>
    <r>
      <rPr>
        <b/>
        <sz val="10"/>
        <rFont val="Arial"/>
        <family val="2"/>
      </rPr>
      <t>99.995%  = Class 2 Availability</t>
    </r>
  </si>
  <si>
    <t>U_IPS</t>
  </si>
  <si>
    <t>U_Link</t>
  </si>
  <si>
    <t>P_SplitBrain</t>
  </si>
  <si>
    <t>min/year</t>
  </si>
  <si>
    <t>IPS can fail in total</t>
  </si>
  <si>
    <t>One link can fail</t>
  </si>
  <si>
    <t>Both links fail</t>
  </si>
  <si>
    <r>
      <t>β factor of 0.02 states that: </t>
    </r>
    <r>
      <rPr>
        <sz val="10"/>
        <rFont val="Arial"/>
        <family val="2"/>
      </rPr>
      <t>only 2% of link failures will affect the second link at the same time → all other 98% affect only one link = no Split Brain</t>
    </r>
  </si>
  <si>
    <t>1E-06 * 8760h/year = 0.00876h/year ≈ 31.5 sec/year</t>
  </si>
  <si>
    <r>
      <t xml:space="preserve">IPS Unavailability budget = 5.26 min/year → we allocate </t>
    </r>
    <r>
      <rPr>
        <b/>
        <sz val="10"/>
        <rFont val="Arial"/>
        <family val="2"/>
      </rPr>
      <t xml:space="preserve">α = 10% </t>
    </r>
    <r>
      <rPr>
        <sz val="10"/>
        <rFont val="Arial"/>
        <family val="2"/>
      </rPr>
      <t>to the Split Brain failure.</t>
    </r>
  </si>
  <si>
    <t>P_Split-Brain = 0.10 * 5.26min = 31.5 sec/year</t>
  </si>
  <si>
    <t>The split‑brain exposure for one line:  A_Link = 99.995% amounts to 31 seconds per year — which corresponds to approximately 10% of the IPS budget.</t>
  </si>
  <si>
    <t>The IPS unavailability budget is U_IPS = 10⁻⁵ (equivalent to 5.26 minutes per year).</t>
  </si>
  <si>
    <t> β = 0.02</t>
  </si>
  <si>
    <t xml:space="preserve"> β = </t>
  </si>
  <si>
    <t>Double Fault</t>
  </si>
  <si>
    <t>Assumtion we have two Core Routers in 1oo2 hot_redundant configuration</t>
  </si>
  <si>
    <t>FiT=</t>
  </si>
  <si>
    <t>MTBFh</t>
  </si>
  <si>
    <t>MTBFy</t>
  </si>
  <si>
    <t>FiT1oo2=</t>
  </si>
  <si>
    <t>λ^2</t>
  </si>
  <si>
    <t>P(A und B) = P(A) × P(B)</t>
  </si>
  <si>
    <t>Faktor 2 — zwei mögliche Reihenfolgen: A-dann-B oder B-dann-A</t>
  </si>
  <si>
    <t>MTTR =</t>
  </si>
  <si>
    <t>Only in this time Double Fault can happen</t>
  </si>
  <si>
    <t>Back to FiT</t>
  </si>
  <si>
    <t>λsys​=2λ2⋅MTTR</t>
  </si>
  <si>
    <r>
      <t xml:space="preserve">double‑failure occurs when </t>
    </r>
    <r>
      <rPr>
        <b/>
        <sz val="10"/>
        <rFont val="Arial"/>
        <family val="2"/>
      </rPr>
      <t>one router fails</t>
    </r>
    <r>
      <rPr>
        <sz val="10"/>
        <rFont val="Arial"/>
        <family val="2"/>
      </rPr>
      <t xml:space="preserve">, and </t>
    </r>
    <r>
      <rPr>
        <b/>
        <sz val="10"/>
        <rFont val="Arial"/>
        <family val="2"/>
      </rPr>
      <t>before it is repaired (within MTTR)</t>
    </r>
    <r>
      <rPr>
        <sz val="10"/>
        <rFont val="Arial"/>
        <family val="2"/>
      </rPr>
      <t xml:space="preserve">, the </t>
    </r>
    <r>
      <rPr>
        <b/>
        <sz val="10"/>
        <rFont val="Arial"/>
        <family val="2"/>
      </rPr>
      <t>second router fails independently</t>
    </r>
  </si>
  <si>
    <t>modeled by using this formula: λsys​=2λ2⋅MTTR</t>
  </si>
  <si>
    <t>λsys</t>
  </si>
  <si>
    <t>MTBF y</t>
  </si>
  <si>
    <t>MTTR h</t>
  </si>
  <si>
    <t>Depending on the MTTR (1h-72h), the system failure rate λsys remains reasonable low, confirming that a double failure is not a dominant contributor to overall system risk.</t>
  </si>
  <si>
    <t>MTBF h</t>
  </si>
  <si>
    <t>CCF Router failure</t>
  </si>
  <si>
    <r>
      <t xml:space="preserve">With a conservative </t>
    </r>
    <r>
      <rPr>
        <b/>
        <sz val="10"/>
        <rFont val="Arial"/>
        <family val="2"/>
      </rPr>
      <t>β = 0.02</t>
    </r>
    <r>
      <rPr>
        <sz val="10"/>
        <rFont val="Arial"/>
        <family val="2"/>
      </rPr>
      <t xml:space="preserve"> and </t>
    </r>
    <r>
      <rPr>
        <b/>
        <sz val="10"/>
        <rFont val="Arial"/>
        <family val="2"/>
      </rPr>
      <t>10,000 FIT per router</t>
    </r>
    <r>
      <rPr>
        <sz val="10"/>
        <rFont val="Arial"/>
        <family val="2"/>
      </rPr>
      <t xml:space="preserve">, the CCF path contributes </t>
    </r>
    <r>
      <rPr>
        <b/>
        <sz val="10"/>
        <rFont val="Arial"/>
        <family val="2"/>
      </rPr>
      <t>200 FIT</t>
    </r>
    <r>
      <rPr>
        <sz val="10"/>
        <rFont val="Arial"/>
        <family val="2"/>
      </rPr>
      <t>, which outweighs the  double‑failure contribution by orders of magnitude.</t>
    </r>
  </si>
  <si>
    <r>
      <t xml:space="preserve">This indicates that the </t>
    </r>
    <r>
      <rPr>
        <b/>
        <sz val="10"/>
        <rFont val="Arial"/>
        <family val="2"/>
      </rPr>
      <t>overall system failure rate is primarily dominated by CCF events</t>
    </r>
    <r>
      <rPr>
        <sz val="10"/>
        <rFont val="Arial"/>
        <family val="2"/>
      </rPr>
      <t>, not by independent double failures during the repair window</t>
    </r>
  </si>
  <si>
    <t>50 years</t>
  </si>
  <si>
    <t>Core Router</t>
  </si>
  <si>
    <t>ToR Switch Nokia 7250</t>
  </si>
  <si>
    <t>Split Brain, Double Fault ToR SW - Core Router</t>
  </si>
  <si>
    <t>U_ToR = λ_ToR · MTTR</t>
  </si>
  <si>
    <t>MTTR 2h</t>
  </si>
  <si>
    <t>MTTR 4h</t>
  </si>
  <si>
    <t>U_CR = λ_CR · MTTR</t>
  </si>
  <si>
    <t>P per critical combination = U_CR × U_ToR</t>
  </si>
  <si>
    <t>P total — 6 combinations</t>
  </si>
  <si>
    <t>Frequency of occurrence (all combinations) years</t>
  </si>
  <si>
    <t>Exposure in partitioned state per year in sec</t>
  </si>
  <si>
    <t>Mixed Double Fault: Core Router + ToR Switch</t>
  </si>
  <si>
    <t>Partitioned network (split-brain precondition) | lambda_sys = lambda_CR*U_ToR + lambda_ToR*U_CR = 2*lambda_CR*lambda_ToR*MTTR | beta = 0 (independent components)</t>
  </si>
  <si>
    <t>INPUTS (blue cells = editable)</t>
  </si>
  <si>
    <t>FIT Core Router [failures / 1e9 h]</t>
  </si>
  <si>
    <t>FIT ToR Switch (Nokia 7250 IXR-e) [failures / 1e9 h]</t>
  </si>
  <si>
    <t>7,000</t>
  </si>
  <si>
    <t>lambda_CR [1/h] = B5 / 1e9</t>
  </si>
  <si>
    <t>lambda_ToR [1/h] = B6 / 1e9</t>
  </si>
  <si>
    <t>MTBF Core Router [h] = 1 / lambda_CR</t>
  </si>
  <si>
    <t>104,167</t>
  </si>
  <si>
    <t>MTBF ToR Switch [h] = 1 / lambda_ToR</t>
  </si>
  <si>
    <t>142,857</t>
  </si>
  <si>
    <t>Number of partition-creating combinations (2 crossed x 3 cabinets)</t>
  </si>
  <si>
    <t>Hours per year</t>
  </si>
  <si>
    <t>TABLE 1 — One crossed combination (e.g. CR1 + ToR SW 2, same cabinet)</t>
  </si>
  <si>
    <t>MTTR [h]</t>
  </si>
  <si>
    <t>U_CR = lambda_CR*MTTR</t>
  </si>
  <si>
    <t>U_ToR = lambda_ToR*MTTR</t>
  </si>
  <si>
    <t>lambda_sys [1/h] = l_CR*U_ToR + l_ToR*U_CR</t>
  </si>
  <si>
    <t>lambda_sys [FIT] = D*1e9</t>
  </si>
  <si>
    <t>MTBF [y] = 1/(D*8760)</t>
  </si>
  <si>
    <t>P = U_CR*U_ToR</t>
  </si>
  <si>
    <t>Availability = 1-P</t>
  </si>
  <si>
    <t>min/year down = P*8760*60</t>
  </si>
  <si>
    <t>TABLE 2 — All partition-creating combinations (x B11 = 6)</t>
  </si>
  <si>
    <t>lambda_sys,total [1/h] = 6 * lambda_sys</t>
  </si>
  <si>
    <t>lambda_sys,total [FIT]</t>
  </si>
  <si>
    <t>MTBF [y] = 1/(B*8760)</t>
  </si>
  <si>
    <t>P_total = 6 * P</t>
  </si>
  <si>
    <t>Exposure [sec/year] = P_total*8760*3600</t>
  </si>
  <si>
    <t>min/year down = P_total*8760*60</t>
  </si>
  <si>
    <t>Share of SB budget = P_total / 1e-6</t>
  </si>
  <si>
    <t>Notes / assumptions:</t>
  </si>
  <si>
    <t>- Source of FIT values: user input (email request). lambda = FIT / 1e9 per hour.</t>
  </si>
  <si>
    <t>- Formula lambda_sys = lambda_CR*U_ToR + lambda_ToR*U_CR is the two-component generalisation of the slide formula lambda_sys = 2*lambda^2/mu (identical components).</t>
  </si>
  <si>
    <t>- beta = 0: no common-cause failure between Core Router and ToR switch (different device types, locations, power supplies; IEC 61508-6 Annex D). Unlike the homogeneous Core Router pair, no 200-FIT CCF path applies here.</t>
  </si>
  <si>
    <t>- U = lambda * MTTR requires automatic detection of the first fault (t_detect &lt;= 5 min). For latent faults use U = lambda * T_proof / 2 instead.</t>
  </si>
  <si>
    <t>- Split-brain budget P_target = 1e-6 = 10% allocation of IPS Class 1 unavailability (EL4-DIL-SSS-REQ-01480, U = 1e-5).</t>
  </si>
  <si>
    <t>- Only crossed combinations (CR1+ToR2, CR2+ToR1 per cabinet) create a partition -&gt; 2 x 3 cabinets = 6 combinations (cell B11).</t>
  </si>
  <si>
    <t>- Yellow/blue cells are editable inputs; all other values recalculate automatically.</t>
  </si>
  <si>
    <t>Combinations total = B11 * B13</t>
  </si>
  <si>
    <t>lambda_sys,all [1/h] = sites * 6 * lambda_sys</t>
  </si>
  <si>
    <t>lambda_sys,all [FIT]</t>
  </si>
  <si>
    <t>MTBF [y] = 1/(C*8760)</t>
  </si>
  <si>
    <t>P_all = sites * P_total</t>
  </si>
  <si>
    <t>Exposure [sec/year] = P_all*8760*3600</t>
  </si>
  <si>
    <t>Share of SB budget = P_all / 1e-6</t>
  </si>
  <si>
    <t>TABLE 3 - Both data centres (all sites)  =  Table 2 x number of sites (B13)</t>
  </si>
  <si>
    <t>Number of data centres (geo-sites) considered</t>
  </si>
  <si>
    <t>AZ / QUORUM INPUTS</t>
  </si>
  <si>
    <t>Number of AZs per site</t>
  </si>
  <si>
    <t>AZs that must be partitioned to lose quorum (2oo3 -&gt; 2)</t>
  </si>
  <si>
    <t>P per single AZ (one AZ partitioned) = 2 crossed comb.</t>
  </si>
  <si>
    <t>see Table 4</t>
  </si>
  <si>
    <t>SUPERVISION-CHANNEL INPUTS</t>
  </si>
  <si>
    <t>beta CCF factor for the two big Core Routers (identical HW)</t>
  </si>
  <si>
    <t>FIT mini-router (Nokia 7250 IXR-e, = ToR FIT)</t>
  </si>
  <si>
    <t>lambda mini-router [1/h] = E11/1e9</t>
  </si>
  <si>
    <t>FiT 1oo2</t>
  </si>
  <si>
    <t>m/y</t>
  </si>
  <si>
    <t>s/y</t>
  </si>
  <si>
    <t>TABLE 4 - Both CR down --&gt; independent 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</si>
</sst>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64" formatCode="hh:mm;@"/>
    <numFmt numFmtId="165" formatCode="dd/mm/yyyy;@"/>
    <numFmt numFmtId="166" formatCode="#,###,###"/>
    <numFmt numFmtId="167" formatCode="0.0"/>
    <numFmt numFmtId="168" formatCode="0.###\ ###\ ##"/>
    <numFmt numFmtId="169" formatCode="###,###,##0"/>
    <numFmt numFmtId="170" formatCode="#,##0.0"/>
    <numFmt numFmtId="171" formatCode="###,###,##0.0000"/>
    <numFmt numFmtId="172" formatCode="###,###,##0.0"/>
    <numFmt numFmtId="173" formatCode="0.000\ 000\ 0"/>
    <numFmt numFmtId="174" formatCode="0.00000\ 000\ 0"/>
    <numFmt numFmtId="175" formatCode="#,##0.0000"/>
    <numFmt numFmtId="176" formatCode="###,###,##0.00"/>
    <numFmt numFmtId="177" formatCode="0.000000\ 000\ 0"/>
    <numFmt numFmtId="178" formatCode="0.0000000\ 000\ 0"/>
    <numFmt numFmtId="179" formatCode="#,##0.000"/>
    <numFmt numFmtId="180" formatCode="###,###,##0.000"/>
    <numFmt numFmtId="181" formatCode="0.0000"/>
    <numFmt numFmtId="182" formatCode="0.00000"/>
    <numFmt numFmtId="183" formatCode="###\ ###\ ##0"/>
    <numFmt numFmtId="184" formatCode="0.###\ ###\ ###\ ###"/>
    <numFmt numFmtId="185" formatCode="###\ ###\ ###"/>
    <numFmt numFmtId="186" formatCode="###\ ##0.0"/>
    <numFmt numFmtId="187" formatCode="0.00&quot; %&quot;"/>
    <numFmt numFmtId="188" formatCode="###.0\ ###\ ###"/>
    <numFmt numFmtId="189" formatCode="0.0E+00"/>
    <numFmt numFmtId="190" formatCode="0.000"/>
    <numFmt numFmtId="191" formatCode="0E+00"/>
    <numFmt numFmtId="192" formatCode="#,##0.0000000000"/>
    <numFmt numFmtId="193" formatCode="0.0000000000%"/>
    <numFmt numFmtId="209" formatCode="#,##0.00000000000"/>
  </numFmts>
  <fonts count="44">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i/>
      <sz val="10"/>
      <name val="Arial"/>
      <family val="2"/>
    </font>
    <font>
      <sz val="8"/>
      <name val="Arial"/>
      <family val="2"/>
    </font>
    <font>
      <sz val="9"/>
      <name val="Arial"/>
      <family val="2"/>
    </font>
    <font>
      <sz val="7"/>
      <name val="Arial"/>
      <family val="2"/>
    </font>
    <font>
      <b/>
      <sz val="9"/>
      <name val="Arial"/>
      <family val="2"/>
    </font>
    <font>
      <sz val="11"/>
      <name val="FuturaA Bk BT"/>
    </font>
    <font>
      <sz val="11"/>
      <name val="Arial"/>
      <family val="2"/>
    </font>
    <font>
      <b/>
      <sz val="11"/>
      <name val="Arial"/>
      <family val="2"/>
    </font>
    <font>
      <sz val="11"/>
      <color theme="0"/>
      <name val="Calibri"/>
      <family val="2"/>
      <scheme val="minor"/>
    </font>
    <font>
      <sz val="9"/>
      <color theme="0"/>
      <name val="Arial"/>
      <family val="2"/>
    </font>
    <font>
      <sz val="9"/>
      <color theme="1"/>
      <name val="Arial"/>
      <family val="2"/>
    </font>
    <font>
      <sz val="6"/>
      <name val="Arial"/>
      <family val="2"/>
    </font>
    <font>
      <b/>
      <i/>
      <sz val="9"/>
      <color theme="4" tint="-0.249977111117893"/>
      <name val="Arial"/>
      <family val="2"/>
    </font>
    <font>
      <b/>
      <sz val="6"/>
      <name val="Arial"/>
      <family val="2"/>
    </font>
    <font>
      <u/>
      <sz val="10"/>
      <name val="Arial"/>
      <family val="2"/>
    </font>
    <font>
      <b/>
      <i/>
      <sz val="6"/>
      <color theme="4" tint="-0.249977111117893"/>
      <name val="Arial"/>
      <family val="2"/>
    </font>
    <font>
      <b/>
      <sz val="14"/>
      <color theme="1"/>
      <name val="Arial"/>
      <family val="2"/>
    </font>
    <font>
      <b/>
      <sz val="11"/>
      <color rgb="FFFA7D00"/>
      <name val="Calibri"/>
      <family val="2"/>
      <scheme val="minor"/>
    </font>
    <font>
      <b/>
      <sz val="16"/>
      <color rgb="FFFA7D00"/>
      <name val="Calibri"/>
      <family val="2"/>
      <scheme val="minor"/>
    </font>
    <font>
      <b/>
      <sz val="12"/>
      <color theme="3" tint="0.39997558519241921"/>
      <name val="Arial"/>
      <family val="2"/>
    </font>
    <font>
      <u/>
      <sz val="10"/>
      <color theme="10"/>
      <name val="Arial"/>
      <family val="2"/>
    </font>
    <font>
      <sz val="11"/>
      <color rgb="FF9C5700"/>
      <name val="Calibri"/>
      <family val="2"/>
      <scheme val="minor"/>
    </font>
    <font>
      <b/>
      <sz val="11"/>
      <color theme="1"/>
      <name val="Arial"/>
      <family val="2"/>
    </font>
    <font>
      <sz val="11"/>
      <color theme="1"/>
      <name val="Arial"/>
      <family val="2"/>
    </font>
    <font>
      <b/>
      <sz val="11"/>
      <color rgb="FF9C5700"/>
      <name val="Calibri"/>
      <family val="2"/>
      <scheme val="minor"/>
    </font>
    <font>
      <sz val="10"/>
      <name val="Calibri"/>
      <family val="2"/>
    </font>
    <font>
      <sz val="9"/>
      <color indexed="81"/>
      <name val="Tahoma"/>
      <family val="2"/>
    </font>
    <font>
      <b/>
      <sz val="9"/>
      <color indexed="81"/>
      <name val="Tahoma"/>
      <family val="2"/>
    </font>
    <font>
      <sz val="11"/>
      <color rgb="FF006100"/>
      <name val="Calibri"/>
      <family val="2"/>
      <scheme val="minor"/>
    </font>
    <font>
      <b/>
      <sz val="11"/>
      <color rgb="FF006100"/>
      <name val="Calibri"/>
      <family val="2"/>
      <scheme val="minor"/>
    </font>
    <font>
      <sz val="11"/>
      <name val="Segoe UI"/>
      <family val="2"/>
    </font>
    <font>
      <sz val="11"/>
      <color rgb="FF222222"/>
      <name val="Calibri"/>
      <family val="2"/>
    </font>
    <font>
      <sz val="10"/>
      <color rgb="FF222222"/>
      <name val="Arial"/>
      <family val="2"/>
    </font>
    <font>
      <b/>
      <sz val="14"/>
      <color rgb="FF003366"/>
      <name val="Arial"/>
      <family val="2"/>
    </font>
    <font>
      <sz val="11"/>
      <name val="Calibri"/>
      <family val="2"/>
    </font>
    <font>
      <i/>
      <sz val="10"/>
      <color rgb="FF336699"/>
      <name val="Arial"/>
      <family val="2"/>
    </font>
    <font>
      <sz val="10"/>
      <color rgb="FF0000FF"/>
      <name val="Arial"/>
      <family val="2"/>
    </font>
    <font>
      <b/>
      <sz val="10"/>
      <color rgb="FFFFFFFF"/>
      <name val="Arial"/>
      <family val="2"/>
    </font>
    <font>
      <i/>
      <sz val="9"/>
      <color rgb="FF555555"/>
      <name val="Arial"/>
      <family val="2"/>
    </font>
  </fonts>
  <fills count="27">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patternFill>
    </fill>
    <fill>
      <patternFill patternType="solid">
        <fgColor theme="4" tint="0.39997558519241921"/>
        <bgColor indexed="65"/>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6" tint="0.39997558519241921"/>
        <bgColor indexed="64"/>
      </patternFill>
    </fill>
    <fill>
      <patternFill patternType="solid">
        <fgColor rgb="FFF2F2F2"/>
      </patternFill>
    </fill>
    <fill>
      <patternFill patternType="solid">
        <fgColor theme="5" tint="0.79998168889431442"/>
        <bgColor indexed="64"/>
      </patternFill>
    </fill>
    <fill>
      <patternFill patternType="solid">
        <fgColor rgb="FF92D050"/>
        <bgColor indexed="64"/>
      </patternFill>
    </fill>
    <fill>
      <patternFill patternType="solid">
        <fgColor rgb="FFFFEB9C"/>
      </patternFill>
    </fill>
    <fill>
      <patternFill patternType="solid">
        <fgColor theme="8"/>
      </patternFill>
    </fill>
    <fill>
      <patternFill patternType="solid">
        <fgColor theme="0" tint="-0.499984740745262"/>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FF00"/>
        <bgColor indexed="64"/>
      </patternFill>
    </fill>
    <fill>
      <patternFill patternType="solid">
        <fgColor rgb="FFC6EFCE"/>
      </patternFill>
    </fill>
    <fill>
      <patternFill patternType="solid">
        <fgColor rgb="FF003366"/>
        <bgColor indexed="64"/>
      </patternFill>
    </fill>
    <fill>
      <patternFill patternType="solid">
        <fgColor rgb="FFE8EEF4"/>
        <bgColor indexed="64"/>
      </patternFill>
    </fill>
  </fills>
  <borders count="5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indexed="64"/>
      </right>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indexed="64"/>
      </bottom>
      <diagonal/>
    </border>
    <border>
      <left style="medium">
        <color indexed="64"/>
      </left>
      <right/>
      <top style="medium">
        <color indexed="64"/>
      </top>
      <bottom style="medium">
        <color indexed="64"/>
      </bottom>
      <diagonal/>
    </border>
    <border>
      <left style="thin">
        <color rgb="FF7F7F7F"/>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AAAAAA"/>
      </left>
      <right style="medium">
        <color rgb="FFAAAAAA"/>
      </right>
      <top style="medium">
        <color rgb="FFAAAAAA"/>
      </top>
      <bottom style="medium">
        <color rgb="FFAAAAAA"/>
      </bottom>
      <diagonal/>
    </border>
    <border>
      <left style="medium">
        <color rgb="FFCCCCCC"/>
      </left>
      <right style="medium">
        <color rgb="FFAAAAAA"/>
      </right>
      <top style="medium">
        <color rgb="FFAAAAAA"/>
      </top>
      <bottom style="medium">
        <color rgb="FFAAAAAA"/>
      </bottom>
      <diagonal/>
    </border>
    <border>
      <left style="medium">
        <color rgb="FFAAAAAA"/>
      </left>
      <right style="medium">
        <color rgb="FFAAAAAA"/>
      </right>
      <top style="medium">
        <color rgb="FFCCCCCC"/>
      </top>
      <bottom style="medium">
        <color rgb="FFAAAAAA"/>
      </bottom>
      <diagonal/>
    </border>
    <border>
      <left style="medium">
        <color rgb="FFCCCCCC"/>
      </left>
      <right style="medium">
        <color rgb="FFAAAAAA"/>
      </right>
      <top style="medium">
        <color rgb="FFCCCCCC"/>
      </top>
      <bottom style="medium">
        <color rgb="FFAAAAAA"/>
      </bottom>
      <diagonal/>
    </border>
    <border>
      <left style="medium">
        <color rgb="FFCCCCCC"/>
      </left>
      <right style="medium">
        <color rgb="FFCCCCCC"/>
      </right>
      <top style="medium">
        <color rgb="FFCCCCCC"/>
      </top>
      <bottom style="medium">
        <color rgb="FFAAAAAA"/>
      </bottom>
      <diagonal/>
    </border>
    <border>
      <left style="medium">
        <color rgb="FFAAAAAA"/>
      </left>
      <right/>
      <top style="medium">
        <color rgb="FFAAAAAA"/>
      </top>
      <bottom style="medium">
        <color rgb="FFAAAAAA"/>
      </bottom>
      <diagonal/>
    </border>
    <border>
      <left style="medium">
        <color rgb="FFAAAAAA"/>
      </left>
      <right/>
      <top style="medium">
        <color rgb="FFCCCCCC"/>
      </top>
      <bottom style="medium">
        <color rgb="FFAAAAAA"/>
      </bottom>
      <diagonal/>
    </border>
    <border>
      <left style="medium">
        <color rgb="FFCCCCCC"/>
      </left>
      <right style="medium">
        <color rgb="FFAAAAAA"/>
      </right>
      <top style="medium">
        <color rgb="FFAAAAAA"/>
      </top>
      <bottom/>
      <diagonal/>
    </border>
  </borders>
  <cellStyleXfs count="12">
    <xf numFmtId="0" fontId="0" fillId="0" borderId="0"/>
    <xf numFmtId="0" fontId="10" fillId="0" borderId="0"/>
    <xf numFmtId="0" fontId="3" fillId="0" borderId="0"/>
    <xf numFmtId="0" fontId="13" fillId="5" borderId="0" applyNumberFormat="0" applyBorder="0" applyAlignment="0" applyProtection="0"/>
    <xf numFmtId="0" fontId="2" fillId="6" borderId="0" applyNumberFormat="0" applyBorder="0" applyAlignment="0" applyProtection="0"/>
    <xf numFmtId="0" fontId="3" fillId="0" borderId="0"/>
    <xf numFmtId="0" fontId="22" fillId="14" borderId="32" applyNumberFormat="0" applyAlignment="0" applyProtection="0"/>
    <xf numFmtId="0" fontId="25" fillId="0" borderId="0" applyNumberFormat="0" applyFill="0" applyBorder="0" applyAlignment="0" applyProtection="0"/>
    <xf numFmtId="0" fontId="26" fillId="17" borderId="0" applyNumberFormat="0" applyBorder="0" applyAlignment="0" applyProtection="0"/>
    <xf numFmtId="0" fontId="13" fillId="18" borderId="0" applyNumberFormat="0" applyBorder="0" applyAlignment="0" applyProtection="0"/>
    <xf numFmtId="0" fontId="28" fillId="0" borderId="0"/>
    <xf numFmtId="0" fontId="33" fillId="24" borderId="0" applyNumberFormat="0" applyBorder="0" applyAlignment="0" applyProtection="0"/>
  </cellStyleXfs>
  <cellXfs count="535">
    <xf numFmtId="0" fontId="0" fillId="0" borderId="0" xfId="0"/>
    <xf numFmtId="0" fontId="0" fillId="0" borderId="0" xfId="0" applyAlignment="1">
      <alignment horizontal="left" indent="1"/>
    </xf>
    <xf numFmtId="0" fontId="3" fillId="0" borderId="0" xfId="1" applyFont="1"/>
    <xf numFmtId="0" fontId="3" fillId="0" borderId="0" xfId="1" applyFont="1" applyAlignment="1">
      <alignment horizontal="center"/>
    </xf>
    <xf numFmtId="0" fontId="5" fillId="2" borderId="0" xfId="1" applyFont="1" applyFill="1" applyAlignment="1">
      <alignment vertical="center"/>
    </xf>
    <xf numFmtId="0" fontId="3" fillId="0" borderId="0" xfId="1" applyFont="1" applyAlignment="1">
      <alignment vertical="center"/>
    </xf>
    <xf numFmtId="49" fontId="11" fillId="0" borderId="0" xfId="1" applyNumberFormat="1" applyFont="1" applyAlignment="1" applyProtection="1">
      <alignment horizontal="center" vertical="center"/>
      <protection locked="0"/>
    </xf>
    <xf numFmtId="0" fontId="5" fillId="2" borderId="0" xfId="1" applyFont="1" applyFill="1" applyAlignment="1">
      <alignment vertical="top"/>
    </xf>
    <xf numFmtId="49" fontId="3" fillId="0" borderId="0" xfId="1" applyNumberFormat="1" applyFont="1" applyAlignment="1">
      <alignment horizontal="center" vertical="center"/>
    </xf>
    <xf numFmtId="164" fontId="3" fillId="0" borderId="0" xfId="1" applyNumberFormat="1" applyFont="1" applyAlignment="1">
      <alignment vertical="center"/>
    </xf>
    <xf numFmtId="0" fontId="11" fillId="0" borderId="0" xfId="1" applyFont="1" applyAlignment="1" applyProtection="1">
      <alignment horizontal="center" vertical="center"/>
      <protection locked="0"/>
    </xf>
    <xf numFmtId="0" fontId="3" fillId="0" borderId="0" xfId="1" applyFont="1" applyAlignment="1">
      <alignment horizontal="left" vertical="center"/>
    </xf>
    <xf numFmtId="165" fontId="11" fillId="0" borderId="0" xfId="1" applyNumberFormat="1" applyFont="1" applyAlignment="1" applyProtection="1">
      <alignment horizontal="left" vertical="center"/>
      <protection locked="0"/>
    </xf>
    <xf numFmtId="0" fontId="3" fillId="0" borderId="0" xfId="2"/>
    <xf numFmtId="0" fontId="4" fillId="3" borderId="8" xfId="2" applyFont="1" applyFill="1" applyBorder="1" applyAlignment="1">
      <alignment horizontal="center" vertical="center"/>
    </xf>
    <xf numFmtId="0" fontId="3" fillId="0" borderId="8" xfId="2" applyBorder="1" applyAlignment="1">
      <alignment horizontal="center" vertical="center"/>
    </xf>
    <xf numFmtId="0" fontId="8" fillId="0" borderId="0" xfId="1" applyFont="1" applyAlignment="1">
      <alignment vertical="center" textRotation="90"/>
    </xf>
    <xf numFmtId="0" fontId="6" fillId="0" borderId="0" xfId="1" applyFont="1" applyAlignment="1">
      <alignment horizontal="left" vertical="center"/>
    </xf>
    <xf numFmtId="0" fontId="6" fillId="0" borderId="0" xfId="1" applyFont="1" applyAlignment="1">
      <alignment horizontal="left" vertical="center" textRotation="90"/>
    </xf>
    <xf numFmtId="0" fontId="8" fillId="0" borderId="0" xfId="1" applyFont="1" applyAlignment="1">
      <alignment horizontal="left" vertical="center" textRotation="90"/>
    </xf>
    <xf numFmtId="0" fontId="8" fillId="0" borderId="0" xfId="1" applyFont="1" applyAlignment="1">
      <alignment horizontal="center" vertical="center" textRotation="90"/>
    </xf>
    <xf numFmtId="0" fontId="5" fillId="0" borderId="0" xfId="1" applyFont="1" applyAlignment="1">
      <alignment horizontal="center" vertical="center"/>
    </xf>
    <xf numFmtId="0" fontId="5" fillId="0" borderId="0" xfId="1" applyFont="1" applyAlignment="1">
      <alignment horizontal="center" vertical="top"/>
    </xf>
    <xf numFmtId="0" fontId="11" fillId="0" borderId="0" xfId="2" applyFont="1" applyAlignment="1">
      <alignment horizontal="center"/>
    </xf>
    <xf numFmtId="0" fontId="11" fillId="0" borderId="0" xfId="1" applyFont="1" applyAlignment="1">
      <alignment horizontal="center" vertical="center"/>
    </xf>
    <xf numFmtId="165" fontId="11" fillId="0" borderId="0" xfId="1" applyNumberFormat="1" applyFont="1" applyAlignment="1" applyProtection="1">
      <alignment horizontal="center" vertical="center"/>
      <protection locked="0"/>
    </xf>
    <xf numFmtId="0" fontId="3" fillId="0" borderId="7" xfId="2" applyBorder="1" applyAlignment="1">
      <alignment horizontal="center" vertical="center" wrapText="1"/>
    </xf>
    <xf numFmtId="0" fontId="4" fillId="3" borderId="7" xfId="2" applyFont="1" applyFill="1" applyBorder="1" applyAlignment="1">
      <alignment horizontal="center" vertical="center"/>
    </xf>
    <xf numFmtId="0" fontId="3" fillId="4" borderId="8" xfId="2" applyFill="1" applyBorder="1" applyAlignment="1">
      <alignment horizontal="center" vertical="center"/>
    </xf>
    <xf numFmtId="14" fontId="3" fillId="0" borderId="12" xfId="2" applyNumberFormat="1" applyBorder="1" applyAlignment="1">
      <alignment horizontal="center" vertical="center"/>
    </xf>
    <xf numFmtId="0" fontId="3" fillId="0" borderId="12" xfId="2" applyBorder="1" applyAlignment="1">
      <alignment horizontal="center" vertical="center" wrapText="1"/>
    </xf>
    <xf numFmtId="0" fontId="3" fillId="0" borderId="12" xfId="2" applyBorder="1" applyAlignment="1">
      <alignment vertical="center"/>
    </xf>
    <xf numFmtId="0" fontId="3" fillId="0" borderId="13" xfId="2" applyBorder="1"/>
    <xf numFmtId="0" fontId="3" fillId="0" borderId="13" xfId="2" applyBorder="1" applyAlignment="1">
      <alignment horizontal="center"/>
    </xf>
    <xf numFmtId="0" fontId="3" fillId="0" borderId="10" xfId="2" applyBorder="1"/>
    <xf numFmtId="0" fontId="3" fillId="0" borderId="10" xfId="2" applyBorder="1" applyAlignment="1">
      <alignment horizontal="center"/>
    </xf>
    <xf numFmtId="14" fontId="3" fillId="0" borderId="12" xfId="2" applyNumberFormat="1" applyBorder="1" applyAlignment="1">
      <alignment vertical="center"/>
    </xf>
    <xf numFmtId="14" fontId="3" fillId="0" borderId="13" xfId="2" applyNumberFormat="1" applyBorder="1" applyAlignment="1">
      <alignment vertical="center"/>
    </xf>
    <xf numFmtId="0" fontId="3" fillId="0" borderId="13" xfId="2" applyBorder="1" applyAlignment="1">
      <alignment horizontal="center" vertical="center" wrapText="1"/>
    </xf>
    <xf numFmtId="0" fontId="3" fillId="0" borderId="13" xfId="2" applyBorder="1" applyAlignment="1">
      <alignment vertical="center"/>
    </xf>
    <xf numFmtId="49" fontId="3" fillId="0" borderId="12" xfId="2" applyNumberFormat="1" applyBorder="1" applyAlignment="1">
      <alignment horizontal="center" vertical="center"/>
    </xf>
    <xf numFmtId="49" fontId="3" fillId="0" borderId="13" xfId="2" applyNumberFormat="1" applyBorder="1"/>
    <xf numFmtId="49" fontId="3" fillId="0" borderId="10" xfId="2" applyNumberFormat="1" applyBorder="1"/>
    <xf numFmtId="49" fontId="0" fillId="0" borderId="0" xfId="0" applyNumberFormat="1" applyAlignment="1">
      <alignment horizontal="left" indent="1"/>
    </xf>
    <xf numFmtId="49" fontId="3" fillId="0" borderId="0" xfId="2" applyNumberFormat="1"/>
    <xf numFmtId="49" fontId="3" fillId="4" borderId="8" xfId="2" applyNumberFormat="1" applyFill="1" applyBorder="1" applyAlignment="1">
      <alignment horizontal="center" vertical="center"/>
    </xf>
    <xf numFmtId="49" fontId="3" fillId="0" borderId="13" xfId="2" applyNumberFormat="1" applyBorder="1" applyAlignment="1">
      <alignment horizontal="center" vertical="center"/>
    </xf>
    <xf numFmtId="49" fontId="0" fillId="0" borderId="0" xfId="0" applyNumberFormat="1"/>
    <xf numFmtId="11" fontId="3" fillId="0" borderId="0" xfId="2" applyNumberFormat="1"/>
    <xf numFmtId="0" fontId="3" fillId="0" borderId="0" xfId="0" applyFont="1"/>
    <xf numFmtId="166" fontId="15" fillId="8" borderId="0" xfId="0" applyNumberFormat="1" applyFont="1" applyFill="1"/>
    <xf numFmtId="0" fontId="14" fillId="6" borderId="2" xfId="4" applyFont="1" applyBorder="1" applyAlignment="1">
      <alignment horizontal="center" vertical="center"/>
    </xf>
    <xf numFmtId="0" fontId="14" fillId="6" borderId="5" xfId="4" applyFont="1" applyBorder="1" applyAlignment="1">
      <alignment horizontal="center" vertical="center"/>
    </xf>
    <xf numFmtId="0" fontId="3" fillId="0" borderId="0" xfId="0" applyFont="1" applyAlignment="1">
      <alignment vertical="center"/>
    </xf>
    <xf numFmtId="170" fontId="7" fillId="9" borderId="0" xfId="2" applyNumberFormat="1" applyFont="1" applyFill="1" applyAlignment="1">
      <alignment horizontal="right" vertical="center"/>
    </xf>
    <xf numFmtId="11" fontId="7" fillId="9" borderId="0" xfId="2" applyNumberFormat="1" applyFont="1" applyFill="1" applyAlignment="1">
      <alignment horizontal="right" vertical="center"/>
    </xf>
    <xf numFmtId="172" fontId="7" fillId="9" borderId="0" xfId="3" applyNumberFormat="1" applyFont="1" applyFill="1" applyBorder="1" applyAlignment="1">
      <alignment horizontal="right" vertical="center"/>
    </xf>
    <xf numFmtId="169" fontId="7" fillId="9" borderId="0" xfId="3" applyNumberFormat="1" applyFont="1" applyFill="1" applyBorder="1" applyAlignment="1">
      <alignment horizontal="right" vertical="center"/>
    </xf>
    <xf numFmtId="170" fontId="7" fillId="8" borderId="0" xfId="2" applyNumberFormat="1" applyFont="1" applyFill="1" applyAlignment="1">
      <alignment horizontal="right" vertical="center"/>
    </xf>
    <xf numFmtId="11" fontId="7" fillId="8" borderId="0" xfId="2" applyNumberFormat="1" applyFont="1" applyFill="1" applyAlignment="1">
      <alignment horizontal="right" vertical="center"/>
    </xf>
    <xf numFmtId="172" fontId="7" fillId="8" borderId="0" xfId="3" applyNumberFormat="1" applyFont="1" applyFill="1" applyBorder="1" applyAlignment="1">
      <alignment horizontal="right" vertical="center"/>
    </xf>
    <xf numFmtId="169" fontId="7" fillId="8" borderId="0" xfId="3" applyNumberFormat="1" applyFont="1" applyFill="1" applyBorder="1" applyAlignment="1">
      <alignment horizontal="right" vertical="center"/>
    </xf>
    <xf numFmtId="2" fontId="9" fillId="9" borderId="12" xfId="2" applyNumberFormat="1" applyFont="1" applyFill="1" applyBorder="1" applyAlignment="1">
      <alignment horizontal="center" vertical="center"/>
    </xf>
    <xf numFmtId="0" fontId="9" fillId="9" borderId="8" xfId="2" applyFont="1" applyFill="1" applyBorder="1" applyAlignment="1">
      <alignment horizontal="center" vertical="center" wrapText="1"/>
    </xf>
    <xf numFmtId="0" fontId="19" fillId="0" borderId="0" xfId="0" applyFont="1" applyAlignment="1">
      <alignment vertical="center"/>
    </xf>
    <xf numFmtId="0" fontId="3" fillId="0" borderId="0" xfId="0" applyFont="1" applyAlignment="1">
      <alignment horizontal="left" vertical="center" indent="3"/>
    </xf>
    <xf numFmtId="0" fontId="0" fillId="0" borderId="8" xfId="0" applyBorder="1"/>
    <xf numFmtId="9" fontId="0" fillId="0" borderId="0" xfId="0" applyNumberFormat="1"/>
    <xf numFmtId="16" fontId="3" fillId="0" borderId="0" xfId="0" applyNumberFormat="1" applyFont="1"/>
    <xf numFmtId="4" fontId="7" fillId="8" borderId="0" xfId="2" applyNumberFormat="1" applyFont="1" applyFill="1" applyAlignment="1">
      <alignment horizontal="right" vertical="center"/>
    </xf>
    <xf numFmtId="0" fontId="9" fillId="9" borderId="12" xfId="2" applyFont="1" applyFill="1" applyBorder="1" applyAlignment="1">
      <alignment horizontal="center" vertical="center" wrapText="1"/>
    </xf>
    <xf numFmtId="172" fontId="7" fillId="9" borderId="0" xfId="2" applyNumberFormat="1" applyFont="1" applyFill="1" applyAlignment="1">
      <alignment horizontal="right" vertical="center"/>
    </xf>
    <xf numFmtId="176" fontId="7" fillId="8" borderId="0" xfId="2" applyNumberFormat="1" applyFont="1" applyFill="1" applyAlignment="1">
      <alignment horizontal="right" vertical="center"/>
    </xf>
    <xf numFmtId="0" fontId="4" fillId="10" borderId="14" xfId="2" applyFont="1" applyFill="1" applyBorder="1"/>
    <xf numFmtId="0" fontId="3" fillId="10" borderId="15" xfId="2" applyFill="1" applyBorder="1"/>
    <xf numFmtId="0" fontId="3" fillId="10" borderId="16" xfId="2" applyFill="1" applyBorder="1"/>
    <xf numFmtId="0" fontId="3" fillId="10" borderId="17" xfId="2" applyFill="1" applyBorder="1"/>
    <xf numFmtId="0" fontId="3" fillId="10" borderId="18" xfId="2" applyFill="1" applyBorder="1"/>
    <xf numFmtId="170" fontId="7" fillId="8" borderId="20" xfId="2" applyNumberFormat="1" applyFont="1" applyFill="1" applyBorder="1" applyAlignment="1">
      <alignment horizontal="right" vertical="center"/>
    </xf>
    <xf numFmtId="0" fontId="17" fillId="9" borderId="19" xfId="5" applyFont="1" applyFill="1" applyBorder="1" applyAlignment="1">
      <alignment horizontal="left" vertical="center" wrapText="1"/>
    </xf>
    <xf numFmtId="175" fontId="7" fillId="9" borderId="20" xfId="2" applyNumberFormat="1" applyFont="1" applyFill="1" applyBorder="1" applyAlignment="1">
      <alignment horizontal="right" vertical="center"/>
    </xf>
    <xf numFmtId="169" fontId="7" fillId="8" borderId="5" xfId="3" applyNumberFormat="1" applyFont="1" applyFill="1" applyBorder="1" applyAlignment="1">
      <alignment horizontal="right" vertical="center"/>
    </xf>
    <xf numFmtId="172" fontId="7" fillId="8" borderId="5" xfId="3" applyNumberFormat="1" applyFont="1" applyFill="1" applyBorder="1" applyAlignment="1">
      <alignment horizontal="right" vertical="center"/>
    </xf>
    <xf numFmtId="11" fontId="7" fillId="8" borderId="5" xfId="2" applyNumberFormat="1" applyFont="1" applyFill="1" applyBorder="1" applyAlignment="1">
      <alignment horizontal="right" vertical="center"/>
    </xf>
    <xf numFmtId="4" fontId="7" fillId="8" borderId="5" xfId="2" applyNumberFormat="1" applyFont="1" applyFill="1" applyBorder="1" applyAlignment="1">
      <alignment horizontal="right" vertical="center"/>
    </xf>
    <xf numFmtId="176" fontId="7" fillId="8" borderId="5" xfId="2" applyNumberFormat="1" applyFont="1" applyFill="1" applyBorder="1" applyAlignment="1">
      <alignment horizontal="right" vertical="center"/>
    </xf>
    <xf numFmtId="170" fontId="7" fillId="8" borderId="25" xfId="2" applyNumberFormat="1" applyFont="1" applyFill="1" applyBorder="1" applyAlignment="1">
      <alignment horizontal="right" vertical="center"/>
    </xf>
    <xf numFmtId="0" fontId="17" fillId="7" borderId="19" xfId="5" applyFont="1" applyFill="1" applyBorder="1" applyAlignment="1">
      <alignment horizontal="left" vertical="center" wrapText="1"/>
    </xf>
    <xf numFmtId="0" fontId="7" fillId="8" borderId="19" xfId="2" applyFont="1" applyFill="1" applyBorder="1" applyAlignment="1">
      <alignment horizontal="left" vertical="center" wrapText="1"/>
    </xf>
    <xf numFmtId="0" fontId="9" fillId="8" borderId="19" xfId="2" applyFont="1" applyFill="1" applyBorder="1" applyAlignment="1">
      <alignment horizontal="left" vertical="center" wrapText="1"/>
    </xf>
    <xf numFmtId="0" fontId="7" fillId="8" borderId="24" xfId="2" applyFont="1" applyFill="1" applyBorder="1" applyAlignment="1">
      <alignment horizontal="left" vertical="center" wrapText="1"/>
    </xf>
    <xf numFmtId="0" fontId="4" fillId="10" borderId="26" xfId="2" applyFont="1" applyFill="1" applyBorder="1"/>
    <xf numFmtId="0" fontId="3" fillId="10" borderId="27" xfId="2" applyFill="1" applyBorder="1"/>
    <xf numFmtId="0" fontId="17" fillId="7" borderId="21" xfId="5" applyFont="1" applyFill="1" applyBorder="1" applyAlignment="1">
      <alignment horizontal="left" vertical="center" wrapText="1"/>
    </xf>
    <xf numFmtId="170" fontId="7" fillId="8" borderId="5" xfId="2" applyNumberFormat="1" applyFont="1" applyFill="1" applyBorder="1" applyAlignment="1">
      <alignment horizontal="right" vertical="center"/>
    </xf>
    <xf numFmtId="169" fontId="7" fillId="8" borderId="5" xfId="2" applyNumberFormat="1" applyFont="1" applyFill="1" applyBorder="1" applyAlignment="1">
      <alignment horizontal="right" vertical="center"/>
    </xf>
    <xf numFmtId="3" fontId="7" fillId="8" borderId="25" xfId="2" applyNumberFormat="1" applyFont="1" applyFill="1" applyBorder="1" applyAlignment="1">
      <alignment horizontal="right" vertical="center"/>
    </xf>
    <xf numFmtId="169" fontId="9" fillId="8" borderId="4" xfId="3" applyNumberFormat="1" applyFont="1" applyFill="1" applyBorder="1" applyAlignment="1">
      <alignment vertical="center"/>
    </xf>
    <xf numFmtId="169" fontId="7" fillId="8" borderId="4" xfId="3" applyNumberFormat="1" applyFont="1" applyFill="1" applyBorder="1" applyAlignment="1">
      <alignment vertical="center"/>
    </xf>
    <xf numFmtId="169" fontId="7" fillId="8" borderId="6" xfId="3" applyNumberFormat="1" applyFont="1" applyFill="1" applyBorder="1" applyAlignment="1">
      <alignment vertical="center"/>
    </xf>
    <xf numFmtId="11" fontId="7" fillId="8" borderId="6" xfId="3" applyNumberFormat="1" applyFont="1" applyFill="1" applyBorder="1" applyAlignment="1">
      <alignment vertical="center"/>
    </xf>
    <xf numFmtId="3" fontId="7" fillId="9" borderId="4" xfId="3" applyNumberFormat="1" applyFont="1" applyFill="1" applyBorder="1" applyAlignment="1">
      <alignment vertical="center"/>
    </xf>
    <xf numFmtId="169" fontId="9" fillId="8" borderId="1" xfId="3" applyNumberFormat="1" applyFont="1" applyFill="1" applyBorder="1" applyAlignment="1">
      <alignment vertical="center"/>
    </xf>
    <xf numFmtId="4" fontId="7" fillId="9" borderId="4" xfId="3" applyNumberFormat="1" applyFont="1" applyFill="1" applyBorder="1" applyAlignment="1">
      <alignment vertical="center"/>
    </xf>
    <xf numFmtId="14" fontId="3" fillId="0" borderId="8" xfId="2" applyNumberFormat="1" applyBorder="1" applyAlignment="1">
      <alignment horizontal="center" vertical="center"/>
    </xf>
    <xf numFmtId="166" fontId="15" fillId="12" borderId="0" xfId="0" applyNumberFormat="1" applyFont="1" applyFill="1"/>
    <xf numFmtId="0" fontId="3" fillId="12" borderId="0" xfId="0" applyFont="1" applyFill="1"/>
    <xf numFmtId="11" fontId="7" fillId="8" borderId="0" xfId="3" applyNumberFormat="1" applyFont="1" applyFill="1" applyBorder="1" applyAlignment="1">
      <alignment horizontal="right" vertical="center"/>
    </xf>
    <xf numFmtId="174" fontId="9" fillId="7" borderId="0" xfId="0" applyNumberFormat="1" applyFont="1" applyFill="1" applyAlignment="1">
      <alignment horizontal="center" vertical="center"/>
    </xf>
    <xf numFmtId="178" fontId="9" fillId="9" borderId="0" xfId="0" applyNumberFormat="1" applyFont="1" applyFill="1" applyAlignment="1">
      <alignment horizontal="left" vertical="center" indent="3"/>
    </xf>
    <xf numFmtId="173" fontId="9" fillId="8" borderId="0" xfId="0" applyNumberFormat="1" applyFont="1" applyFill="1" applyAlignment="1">
      <alignment horizontal="left" vertical="center" indent="3"/>
    </xf>
    <xf numFmtId="173" fontId="7" fillId="8" borderId="0" xfId="0" applyNumberFormat="1" applyFont="1" applyFill="1" applyAlignment="1">
      <alignment horizontal="left" vertical="center" indent="3"/>
    </xf>
    <xf numFmtId="173" fontId="7" fillId="8" borderId="5" xfId="0" applyNumberFormat="1" applyFont="1" applyFill="1" applyBorder="1" applyAlignment="1">
      <alignment horizontal="left" vertical="center" indent="3"/>
    </xf>
    <xf numFmtId="171" fontId="7" fillId="8" borderId="5" xfId="3" applyNumberFormat="1" applyFont="1" applyFill="1" applyBorder="1" applyAlignment="1">
      <alignment horizontal="left" vertical="center" indent="3"/>
    </xf>
    <xf numFmtId="0" fontId="3" fillId="0" borderId="0" xfId="2" applyAlignment="1">
      <alignment horizontal="left" indent="3"/>
    </xf>
    <xf numFmtId="0" fontId="3" fillId="10" borderId="17" xfId="2" applyFill="1" applyBorder="1" applyAlignment="1">
      <alignment horizontal="left" indent="3"/>
    </xf>
    <xf numFmtId="0" fontId="3" fillId="9" borderId="0" xfId="0" applyFont="1" applyFill="1" applyAlignment="1">
      <alignment horizontal="center"/>
    </xf>
    <xf numFmtId="0" fontId="3" fillId="9" borderId="0" xfId="0" applyFont="1" applyFill="1"/>
    <xf numFmtId="166" fontId="15" fillId="9" borderId="0" xfId="0" applyNumberFormat="1" applyFont="1" applyFill="1"/>
    <xf numFmtId="167" fontId="15" fillId="9" borderId="0" xfId="0" applyNumberFormat="1" applyFont="1" applyFill="1"/>
    <xf numFmtId="168" fontId="15" fillId="9" borderId="0" xfId="0" applyNumberFormat="1" applyFont="1" applyFill="1" applyAlignment="1">
      <alignment horizontal="left" indent="1"/>
    </xf>
    <xf numFmtId="173" fontId="9" fillId="9" borderId="0" xfId="0" applyNumberFormat="1" applyFont="1" applyFill="1" applyAlignment="1">
      <alignment horizontal="center" vertical="center"/>
    </xf>
    <xf numFmtId="11" fontId="15" fillId="9" borderId="0" xfId="0" applyNumberFormat="1" applyFont="1" applyFill="1"/>
    <xf numFmtId="2" fontId="15" fillId="9" borderId="0" xfId="0" applyNumberFormat="1" applyFont="1" applyFill="1"/>
    <xf numFmtId="0" fontId="3" fillId="11" borderId="0" xfId="0" applyFont="1" applyFill="1" applyAlignment="1">
      <alignment horizontal="center"/>
    </xf>
    <xf numFmtId="0" fontId="3" fillId="11" borderId="0" xfId="0" applyFont="1" applyFill="1"/>
    <xf numFmtId="166" fontId="15" fillId="11" borderId="0" xfId="0" applyNumberFormat="1" applyFont="1" applyFill="1"/>
    <xf numFmtId="167" fontId="15" fillId="11" borderId="0" xfId="0" applyNumberFormat="1" applyFont="1" applyFill="1"/>
    <xf numFmtId="168" fontId="15" fillId="11" borderId="0" xfId="0" applyNumberFormat="1" applyFont="1" applyFill="1" applyAlignment="1">
      <alignment horizontal="left" indent="1"/>
    </xf>
    <xf numFmtId="173" fontId="9" fillId="11" borderId="0" xfId="0" applyNumberFormat="1" applyFont="1" applyFill="1" applyAlignment="1">
      <alignment horizontal="center" vertical="center"/>
    </xf>
    <xf numFmtId="11" fontId="15" fillId="11" borderId="0" xfId="0" applyNumberFormat="1" applyFont="1" applyFill="1"/>
    <xf numFmtId="2" fontId="15" fillId="11" borderId="0" xfId="0" applyNumberFormat="1" applyFont="1" applyFill="1"/>
    <xf numFmtId="0" fontId="3" fillId="13" borderId="0" xfId="0" applyFont="1" applyFill="1" applyAlignment="1">
      <alignment horizontal="center"/>
    </xf>
    <xf numFmtId="0" fontId="3" fillId="13" borderId="0" xfId="0" applyFont="1" applyFill="1"/>
    <xf numFmtId="166" fontId="15" fillId="13" borderId="0" xfId="0" applyNumberFormat="1" applyFont="1" applyFill="1"/>
    <xf numFmtId="167" fontId="15" fillId="13" borderId="0" xfId="0" applyNumberFormat="1" applyFont="1" applyFill="1"/>
    <xf numFmtId="168" fontId="15" fillId="13" borderId="0" xfId="0" applyNumberFormat="1" applyFont="1" applyFill="1" applyAlignment="1">
      <alignment horizontal="left" indent="1"/>
    </xf>
    <xf numFmtId="173" fontId="9" fillId="13" borderId="0" xfId="0" applyNumberFormat="1" applyFont="1" applyFill="1" applyAlignment="1">
      <alignment horizontal="center" vertical="center"/>
    </xf>
    <xf numFmtId="11" fontId="15" fillId="13" borderId="0" xfId="0" applyNumberFormat="1" applyFont="1" applyFill="1"/>
    <xf numFmtId="2" fontId="15" fillId="13" borderId="0" xfId="0" applyNumberFormat="1" applyFont="1" applyFill="1"/>
    <xf numFmtId="0" fontId="3" fillId="7" borderId="5" xfId="0" applyFont="1" applyFill="1" applyBorder="1" applyAlignment="1">
      <alignment horizontal="center"/>
    </xf>
    <xf numFmtId="0" fontId="3" fillId="7" borderId="5" xfId="0" applyFont="1" applyFill="1" applyBorder="1"/>
    <xf numFmtId="166" fontId="15" fillId="7" borderId="5" xfId="0" applyNumberFormat="1" applyFont="1" applyFill="1" applyBorder="1"/>
    <xf numFmtId="167" fontId="15" fillId="7" borderId="5" xfId="0" applyNumberFormat="1" applyFont="1" applyFill="1" applyBorder="1"/>
    <xf numFmtId="168" fontId="15" fillId="7" borderId="5" xfId="0" applyNumberFormat="1" applyFont="1" applyFill="1" applyBorder="1" applyAlignment="1">
      <alignment horizontal="left" indent="1"/>
    </xf>
    <xf numFmtId="173" fontId="9" fillId="7" borderId="5" xfId="0" applyNumberFormat="1" applyFont="1" applyFill="1" applyBorder="1" applyAlignment="1">
      <alignment horizontal="center" vertical="center"/>
    </xf>
    <xf numFmtId="11" fontId="15" fillId="7" borderId="5" xfId="0" applyNumberFormat="1" applyFont="1" applyFill="1" applyBorder="1"/>
    <xf numFmtId="2" fontId="15" fillId="7" borderId="5" xfId="0" applyNumberFormat="1" applyFont="1" applyFill="1" applyBorder="1"/>
    <xf numFmtId="0" fontId="3" fillId="9" borderId="2" xfId="0" applyFont="1" applyFill="1" applyBorder="1" applyAlignment="1">
      <alignment horizontal="center"/>
    </xf>
    <xf numFmtId="0" fontId="3" fillId="9" borderId="2" xfId="0" applyFont="1" applyFill="1" applyBorder="1"/>
    <xf numFmtId="166" fontId="15" fillId="9" borderId="2" xfId="0" applyNumberFormat="1" applyFont="1" applyFill="1" applyBorder="1"/>
    <xf numFmtId="167" fontId="15" fillId="9" borderId="2" xfId="0" applyNumberFormat="1" applyFont="1" applyFill="1" applyBorder="1"/>
    <xf numFmtId="168" fontId="15" fillId="9" borderId="2" xfId="0" applyNumberFormat="1" applyFont="1" applyFill="1" applyBorder="1" applyAlignment="1">
      <alignment horizontal="left" indent="1"/>
    </xf>
    <xf numFmtId="173" fontId="9" fillId="9" borderId="2" xfId="0" applyNumberFormat="1" applyFont="1" applyFill="1" applyBorder="1" applyAlignment="1">
      <alignment horizontal="center" vertical="center"/>
    </xf>
    <xf numFmtId="11" fontId="15" fillId="9" borderId="2" xfId="0" applyNumberFormat="1" applyFont="1" applyFill="1" applyBorder="1"/>
    <xf numFmtId="2" fontId="15" fillId="9" borderId="2" xfId="0" applyNumberFormat="1" applyFont="1" applyFill="1" applyBorder="1"/>
    <xf numFmtId="0" fontId="3" fillId="9" borderId="29" xfId="0" applyFont="1" applyFill="1" applyBorder="1" applyAlignment="1">
      <alignment horizontal="center"/>
    </xf>
    <xf numFmtId="167" fontId="15" fillId="9" borderId="30" xfId="0" applyNumberFormat="1" applyFont="1" applyFill="1" applyBorder="1"/>
    <xf numFmtId="0" fontId="3" fillId="9" borderId="19" xfId="0" applyFont="1" applyFill="1" applyBorder="1" applyAlignment="1">
      <alignment horizontal="center"/>
    </xf>
    <xf numFmtId="167" fontId="15" fillId="9" borderId="20" xfId="0" applyNumberFormat="1" applyFont="1" applyFill="1" applyBorder="1"/>
    <xf numFmtId="0" fontId="3" fillId="11" borderId="19" xfId="0" applyFont="1" applyFill="1" applyBorder="1" applyAlignment="1">
      <alignment horizontal="center"/>
    </xf>
    <xf numFmtId="167" fontId="15" fillId="11" borderId="20" xfId="0" applyNumberFormat="1" applyFont="1" applyFill="1" applyBorder="1"/>
    <xf numFmtId="0" fontId="3" fillId="13" borderId="19" xfId="0" applyFont="1" applyFill="1" applyBorder="1" applyAlignment="1">
      <alignment horizontal="center"/>
    </xf>
    <xf numFmtId="167" fontId="15" fillId="13" borderId="20" xfId="0" applyNumberFormat="1" applyFont="1" applyFill="1" applyBorder="1"/>
    <xf numFmtId="0" fontId="3" fillId="7" borderId="24" xfId="0" applyFont="1" applyFill="1" applyBorder="1" applyAlignment="1">
      <alignment horizontal="center"/>
    </xf>
    <xf numFmtId="167" fontId="15" fillId="7" borderId="25" xfId="0" applyNumberFormat="1" applyFont="1" applyFill="1" applyBorder="1"/>
    <xf numFmtId="0" fontId="3" fillId="9" borderId="21" xfId="0" applyFont="1" applyFill="1" applyBorder="1" applyAlignment="1">
      <alignment horizontal="center"/>
    </xf>
    <xf numFmtId="0" fontId="3" fillId="9" borderId="22" xfId="0" applyFont="1" applyFill="1" applyBorder="1" applyAlignment="1">
      <alignment horizontal="center"/>
    </xf>
    <xf numFmtId="0" fontId="3" fillId="9" borderId="22" xfId="0" applyFont="1" applyFill="1" applyBorder="1"/>
    <xf numFmtId="166" fontId="15" fillId="9" borderId="22" xfId="0" applyNumberFormat="1" applyFont="1" applyFill="1" applyBorder="1"/>
    <xf numFmtId="167" fontId="15" fillId="9" borderId="22" xfId="0" applyNumberFormat="1" applyFont="1" applyFill="1" applyBorder="1"/>
    <xf numFmtId="168" fontId="15" fillId="9" borderId="22" xfId="0" applyNumberFormat="1" applyFont="1" applyFill="1" applyBorder="1" applyAlignment="1">
      <alignment horizontal="left" indent="1"/>
    </xf>
    <xf numFmtId="173" fontId="9" fillId="9" borderId="22" xfId="0" applyNumberFormat="1" applyFont="1" applyFill="1" applyBorder="1" applyAlignment="1">
      <alignment horizontal="center" vertical="center"/>
    </xf>
    <xf numFmtId="11" fontId="15" fillId="9" borderId="22" xfId="0" applyNumberFormat="1" applyFont="1" applyFill="1" applyBorder="1"/>
    <xf numFmtId="2" fontId="15" fillId="9" borderId="22" xfId="0" applyNumberFormat="1" applyFont="1" applyFill="1" applyBorder="1"/>
    <xf numFmtId="167" fontId="15" fillId="9" borderId="23" xfId="0" applyNumberFormat="1" applyFont="1" applyFill="1" applyBorder="1"/>
    <xf numFmtId="0" fontId="9" fillId="6" borderId="2" xfId="4" applyFont="1" applyBorder="1" applyAlignment="1">
      <alignment horizontal="right" vertical="center" wrapText="1"/>
    </xf>
    <xf numFmtId="0" fontId="9" fillId="6" borderId="30" xfId="4" applyFont="1" applyBorder="1" applyAlignment="1">
      <alignment horizontal="right" vertical="center" wrapText="1"/>
    </xf>
    <xf numFmtId="0" fontId="0" fillId="0" borderId="19" xfId="0" applyBorder="1"/>
    <xf numFmtId="0" fontId="0" fillId="0" borderId="20" xfId="0" applyBorder="1"/>
    <xf numFmtId="170" fontId="7" fillId="9" borderId="4" xfId="3" applyNumberFormat="1" applyFont="1" applyFill="1" applyBorder="1" applyAlignment="1">
      <alignment vertical="center"/>
    </xf>
    <xf numFmtId="179" fontId="7" fillId="9" borderId="4" xfId="3" applyNumberFormat="1" applyFont="1" applyFill="1" applyBorder="1" applyAlignment="1">
      <alignment vertical="center"/>
    </xf>
    <xf numFmtId="177" fontId="9" fillId="9" borderId="0" xfId="0" applyNumberFormat="1" applyFont="1" applyFill="1" applyAlignment="1">
      <alignment horizontal="left" vertical="center" indent="3"/>
    </xf>
    <xf numFmtId="0" fontId="17" fillId="7" borderId="19" xfId="5" applyFont="1" applyFill="1" applyBorder="1" applyAlignment="1">
      <alignment horizontal="center" vertical="center" wrapText="1"/>
    </xf>
    <xf numFmtId="3" fontId="7" fillId="7" borderId="4" xfId="3" applyNumberFormat="1" applyFont="1" applyFill="1" applyBorder="1" applyAlignment="1">
      <alignment horizontal="center" vertical="center"/>
    </xf>
    <xf numFmtId="169" fontId="7" fillId="7" borderId="0" xfId="3" applyNumberFormat="1" applyFont="1" applyFill="1" applyBorder="1" applyAlignment="1">
      <alignment horizontal="center" vertical="center"/>
    </xf>
    <xf numFmtId="172" fontId="7" fillId="7" borderId="0" xfId="3" applyNumberFormat="1" applyFont="1" applyFill="1" applyBorder="1" applyAlignment="1">
      <alignment horizontal="center" vertical="center"/>
    </xf>
    <xf numFmtId="11" fontId="7" fillId="7" borderId="0" xfId="2" applyNumberFormat="1" applyFont="1" applyFill="1" applyAlignment="1">
      <alignment horizontal="center" vertical="center"/>
    </xf>
    <xf numFmtId="170" fontId="7" fillId="7" borderId="0" xfId="2" applyNumberFormat="1" applyFont="1" applyFill="1" applyAlignment="1">
      <alignment horizontal="center" vertical="center"/>
    </xf>
    <xf numFmtId="172" fontId="9" fillId="7" borderId="0" xfId="2" applyNumberFormat="1" applyFont="1" applyFill="1" applyAlignment="1">
      <alignment horizontal="center" vertical="center"/>
    </xf>
    <xf numFmtId="3" fontId="7" fillId="7" borderId="20" xfId="2" applyNumberFormat="1" applyFont="1" applyFill="1" applyBorder="1" applyAlignment="1">
      <alignment horizontal="center" vertical="center"/>
    </xf>
    <xf numFmtId="11" fontId="9" fillId="9" borderId="20" xfId="2" applyNumberFormat="1" applyFont="1" applyFill="1" applyBorder="1" applyAlignment="1">
      <alignment horizontal="right" vertical="center"/>
    </xf>
    <xf numFmtId="176" fontId="7" fillId="9" borderId="0" xfId="3" applyNumberFormat="1" applyFont="1" applyFill="1" applyBorder="1" applyAlignment="1">
      <alignment horizontal="right" vertical="center"/>
    </xf>
    <xf numFmtId="0" fontId="17" fillId="9" borderId="21" xfId="5" applyFont="1" applyFill="1" applyBorder="1" applyAlignment="1">
      <alignment horizontal="left" vertical="center" wrapText="1"/>
    </xf>
    <xf numFmtId="3" fontId="7" fillId="9" borderId="28" xfId="3" applyNumberFormat="1" applyFont="1" applyFill="1" applyBorder="1" applyAlignment="1">
      <alignment vertical="center"/>
    </xf>
    <xf numFmtId="169" fontId="7" fillId="9" borderId="22" xfId="3" applyNumberFormat="1" applyFont="1" applyFill="1" applyBorder="1" applyAlignment="1">
      <alignment horizontal="right" vertical="center"/>
    </xf>
    <xf numFmtId="172" fontId="7" fillId="9" borderId="22" xfId="3" applyNumberFormat="1" applyFont="1" applyFill="1" applyBorder="1" applyAlignment="1">
      <alignment horizontal="right" vertical="center"/>
    </xf>
    <xf numFmtId="174" fontId="9" fillId="9" borderId="22" xfId="0" applyNumberFormat="1" applyFont="1" applyFill="1" applyBorder="1" applyAlignment="1">
      <alignment horizontal="left" vertical="center" indent="3"/>
    </xf>
    <xf numFmtId="11" fontId="7" fillId="9" borderId="22" xfId="2" applyNumberFormat="1" applyFont="1" applyFill="1" applyBorder="1" applyAlignment="1">
      <alignment horizontal="right" vertical="center"/>
    </xf>
    <xf numFmtId="170" fontId="7" fillId="9" borderId="22" xfId="2" applyNumberFormat="1" applyFont="1" applyFill="1" applyBorder="1" applyAlignment="1">
      <alignment horizontal="right" vertical="center"/>
    </xf>
    <xf numFmtId="172" fontId="7" fillId="9" borderId="22" xfId="2" applyNumberFormat="1" applyFont="1" applyFill="1" applyBorder="1" applyAlignment="1">
      <alignment horizontal="right" vertical="center"/>
    </xf>
    <xf numFmtId="175" fontId="7" fillId="9" borderId="23" xfId="2" applyNumberFormat="1" applyFont="1" applyFill="1" applyBorder="1" applyAlignment="1">
      <alignment horizontal="right" vertical="center"/>
    </xf>
    <xf numFmtId="172" fontId="9" fillId="9" borderId="22" xfId="2" applyNumberFormat="1" applyFont="1" applyFill="1" applyBorder="1" applyAlignment="1">
      <alignment horizontal="right" vertical="center"/>
    </xf>
    <xf numFmtId="0" fontId="7" fillId="8" borderId="31" xfId="2" applyFont="1" applyFill="1" applyBorder="1" applyAlignment="1">
      <alignment horizontal="left" vertical="center" wrapText="1"/>
    </xf>
    <xf numFmtId="0" fontId="17" fillId="7" borderId="29" xfId="5" applyFont="1" applyFill="1" applyBorder="1" applyAlignment="1">
      <alignment horizontal="center" vertical="center" wrapText="1"/>
    </xf>
    <xf numFmtId="169" fontId="7" fillId="9" borderId="5" xfId="3" applyNumberFormat="1" applyFont="1" applyFill="1" applyBorder="1" applyAlignment="1">
      <alignment horizontal="right" vertical="center"/>
    </xf>
    <xf numFmtId="172" fontId="7" fillId="9" borderId="5" xfId="3" applyNumberFormat="1" applyFont="1" applyFill="1" applyBorder="1" applyAlignment="1">
      <alignment horizontal="right" vertical="center"/>
    </xf>
    <xf numFmtId="177" fontId="9" fillId="9" borderId="5" xfId="0" applyNumberFormat="1" applyFont="1" applyFill="1" applyBorder="1" applyAlignment="1">
      <alignment horizontal="left" vertical="center" indent="3"/>
    </xf>
    <xf numFmtId="11" fontId="7" fillId="9" borderId="5" xfId="2" applyNumberFormat="1" applyFont="1" applyFill="1" applyBorder="1" applyAlignment="1">
      <alignment horizontal="right" vertical="center"/>
    </xf>
    <xf numFmtId="170" fontId="7" fillId="9" borderId="5" xfId="2" applyNumberFormat="1" applyFont="1" applyFill="1" applyBorder="1" applyAlignment="1">
      <alignment horizontal="right" vertical="center"/>
    </xf>
    <xf numFmtId="172" fontId="7" fillId="9" borderId="5" xfId="2" applyNumberFormat="1" applyFont="1" applyFill="1" applyBorder="1" applyAlignment="1">
      <alignment horizontal="right" vertical="center"/>
    </xf>
    <xf numFmtId="11" fontId="9" fillId="9" borderId="25" xfId="2" applyNumberFormat="1" applyFont="1" applyFill="1" applyBorder="1" applyAlignment="1">
      <alignment horizontal="right" vertical="center"/>
    </xf>
    <xf numFmtId="170" fontId="7" fillId="9" borderId="28" xfId="3" applyNumberFormat="1" applyFont="1" applyFill="1" applyBorder="1" applyAlignment="1">
      <alignment vertical="center"/>
    </xf>
    <xf numFmtId="176" fontId="7" fillId="9" borderId="22" xfId="3" applyNumberFormat="1" applyFont="1" applyFill="1" applyBorder="1" applyAlignment="1">
      <alignment horizontal="right" vertical="center"/>
    </xf>
    <xf numFmtId="177" fontId="9" fillId="9" borderId="22" xfId="0" applyNumberFormat="1" applyFont="1" applyFill="1" applyBorder="1" applyAlignment="1">
      <alignment horizontal="left" vertical="center" indent="3"/>
    </xf>
    <xf numFmtId="2" fontId="9" fillId="9" borderId="20" xfId="2" applyNumberFormat="1" applyFont="1" applyFill="1" applyBorder="1" applyAlignment="1">
      <alignment horizontal="right" vertical="center"/>
    </xf>
    <xf numFmtId="4" fontId="7" fillId="9" borderId="6" xfId="3" applyNumberFormat="1" applyFont="1" applyFill="1" applyBorder="1" applyAlignment="1">
      <alignment vertical="center"/>
    </xf>
    <xf numFmtId="11" fontId="7" fillId="9" borderId="4" xfId="3" applyNumberFormat="1" applyFont="1" applyFill="1" applyBorder="1" applyAlignment="1">
      <alignment vertical="center"/>
    </xf>
    <xf numFmtId="11" fontId="7" fillId="9" borderId="6" xfId="3" applyNumberFormat="1" applyFont="1" applyFill="1" applyBorder="1" applyAlignment="1">
      <alignment vertical="center"/>
    </xf>
    <xf numFmtId="11" fontId="7" fillId="7" borderId="4" xfId="3" applyNumberFormat="1" applyFont="1" applyFill="1" applyBorder="1" applyAlignment="1">
      <alignment horizontal="center" vertical="center"/>
    </xf>
    <xf numFmtId="0" fontId="17" fillId="9" borderId="24" xfId="5" applyFont="1" applyFill="1" applyBorder="1" applyAlignment="1">
      <alignment horizontal="left" vertical="center" wrapText="1"/>
    </xf>
    <xf numFmtId="3" fontId="7" fillId="9" borderId="6" xfId="3" applyNumberFormat="1" applyFont="1" applyFill="1" applyBorder="1" applyAlignment="1">
      <alignment vertical="center"/>
    </xf>
    <xf numFmtId="170" fontId="7" fillId="9" borderId="23" xfId="2" applyNumberFormat="1" applyFont="1" applyFill="1" applyBorder="1" applyAlignment="1">
      <alignment horizontal="right" vertical="center"/>
    </xf>
    <xf numFmtId="176" fontId="7" fillId="9" borderId="5" xfId="3" applyNumberFormat="1" applyFont="1" applyFill="1" applyBorder="1" applyAlignment="1">
      <alignment horizontal="right" vertical="center"/>
    </xf>
    <xf numFmtId="175" fontId="7" fillId="9" borderId="25" xfId="2" applyNumberFormat="1" applyFont="1" applyFill="1" applyBorder="1" applyAlignment="1">
      <alignment horizontal="right" vertical="center"/>
    </xf>
    <xf numFmtId="170" fontId="7" fillId="9" borderId="0" xfId="3" applyNumberFormat="1" applyFont="1" applyFill="1" applyBorder="1" applyAlignment="1">
      <alignment vertical="center"/>
    </xf>
    <xf numFmtId="0" fontId="17" fillId="7" borderId="24" xfId="5" applyFont="1" applyFill="1" applyBorder="1" applyAlignment="1">
      <alignment horizontal="left" vertical="center" wrapText="1"/>
    </xf>
    <xf numFmtId="170" fontId="7" fillId="9" borderId="22" xfId="3" applyNumberFormat="1" applyFont="1" applyFill="1" applyBorder="1" applyAlignment="1">
      <alignment vertical="center"/>
    </xf>
    <xf numFmtId="4" fontId="7" fillId="9" borderId="22" xfId="3" applyNumberFormat="1" applyFont="1" applyFill="1" applyBorder="1" applyAlignment="1">
      <alignment vertical="center"/>
    </xf>
    <xf numFmtId="4" fontId="7" fillId="9" borderId="0" xfId="3" applyNumberFormat="1" applyFont="1" applyFill="1" applyBorder="1" applyAlignment="1">
      <alignment vertical="center"/>
    </xf>
    <xf numFmtId="178" fontId="9" fillId="9" borderId="22" xfId="0" applyNumberFormat="1" applyFont="1" applyFill="1" applyBorder="1" applyAlignment="1">
      <alignment horizontal="left" vertical="center" indent="3"/>
    </xf>
    <xf numFmtId="0" fontId="3" fillId="0" borderId="8" xfId="0" applyFont="1" applyBorder="1"/>
    <xf numFmtId="1" fontId="9" fillId="9" borderId="20" xfId="2" applyNumberFormat="1" applyFont="1" applyFill="1" applyBorder="1" applyAlignment="1">
      <alignment horizontal="right" vertical="center"/>
    </xf>
    <xf numFmtId="1" fontId="9" fillId="9" borderId="25" xfId="2" applyNumberFormat="1" applyFont="1" applyFill="1" applyBorder="1" applyAlignment="1">
      <alignment horizontal="right" vertical="center"/>
    </xf>
    <xf numFmtId="167" fontId="0" fillId="0" borderId="0" xfId="0" applyNumberFormat="1"/>
    <xf numFmtId="0" fontId="7" fillId="8" borderId="0" xfId="2" applyFont="1" applyFill="1" applyAlignment="1">
      <alignment horizontal="left" vertical="center" wrapText="1"/>
    </xf>
    <xf numFmtId="0" fontId="7" fillId="8" borderId="2" xfId="2" applyFont="1" applyFill="1" applyBorder="1" applyAlignment="1">
      <alignment horizontal="left" vertical="center" wrapText="1"/>
    </xf>
    <xf numFmtId="0" fontId="7" fillId="8" borderId="5" xfId="2" applyFont="1" applyFill="1" applyBorder="1" applyAlignment="1">
      <alignment horizontal="left" vertical="center" wrapText="1"/>
    </xf>
    <xf numFmtId="0" fontId="7" fillId="8" borderId="2" xfId="2" applyFont="1" applyFill="1" applyBorder="1" applyAlignment="1">
      <alignment horizontal="center" vertical="center" wrapText="1"/>
    </xf>
    <xf numFmtId="0" fontId="7" fillId="8" borderId="0" xfId="2" applyFont="1" applyFill="1" applyAlignment="1">
      <alignment horizontal="center" vertical="center" wrapText="1"/>
    </xf>
    <xf numFmtId="0" fontId="7" fillId="8" borderId="33" xfId="2" applyFont="1" applyFill="1" applyBorder="1" applyAlignment="1">
      <alignment horizontal="center" vertical="center" wrapText="1"/>
    </xf>
    <xf numFmtId="0" fontId="7" fillId="8" borderId="5" xfId="2" applyFont="1" applyFill="1" applyBorder="1" applyAlignment="1">
      <alignment horizontal="center" vertical="center" wrapText="1"/>
    </xf>
    <xf numFmtId="0" fontId="7" fillId="8" borderId="7" xfId="2" applyFont="1" applyFill="1" applyBorder="1" applyAlignment="1">
      <alignment horizontal="left" vertical="center" wrapText="1"/>
    </xf>
    <xf numFmtId="0" fontId="7" fillId="8" borderId="34" xfId="2" applyFont="1" applyFill="1" applyBorder="1" applyAlignment="1">
      <alignment horizontal="center" vertical="center" wrapText="1"/>
    </xf>
    <xf numFmtId="0" fontId="7" fillId="8" borderId="11" xfId="2" applyFont="1" applyFill="1" applyBorder="1" applyAlignment="1">
      <alignment horizontal="center" vertical="center" wrapText="1"/>
    </xf>
    <xf numFmtId="180" fontId="7" fillId="9" borderId="0" xfId="3" applyNumberFormat="1" applyFont="1" applyFill="1" applyBorder="1" applyAlignment="1">
      <alignment horizontal="right" vertical="center"/>
    </xf>
    <xf numFmtId="171" fontId="7" fillId="9" borderId="0" xfId="3" applyNumberFormat="1" applyFont="1" applyFill="1" applyBorder="1" applyAlignment="1">
      <alignment horizontal="right" vertical="center"/>
    </xf>
    <xf numFmtId="0" fontId="23" fillId="14" borderId="35" xfId="6" applyFont="1" applyBorder="1" applyAlignment="1">
      <alignment horizontal="center" vertical="center" wrapText="1"/>
    </xf>
    <xf numFmtId="2" fontId="9" fillId="9" borderId="8" xfId="2" applyNumberFormat="1" applyFont="1" applyFill="1" applyBorder="1" applyAlignment="1">
      <alignment horizontal="center" vertical="center"/>
    </xf>
    <xf numFmtId="0" fontId="4" fillId="0" borderId="36" xfId="0" applyFont="1" applyBorder="1" applyAlignment="1">
      <alignment vertical="center"/>
    </xf>
    <xf numFmtId="181" fontId="23" fillId="14" borderId="37" xfId="6" applyNumberFormat="1" applyFont="1" applyBorder="1" applyAlignment="1">
      <alignment horizontal="center" vertical="center" wrapText="1"/>
    </xf>
    <xf numFmtId="0" fontId="7" fillId="8" borderId="4" xfId="2" applyFont="1" applyFill="1" applyBorder="1" applyAlignment="1">
      <alignment horizontal="center" vertical="center" wrapText="1"/>
    </xf>
    <xf numFmtId="0" fontId="24" fillId="8" borderId="5" xfId="2" applyFont="1" applyFill="1" applyBorder="1" applyAlignment="1">
      <alignment horizontal="center" vertical="center" wrapText="1"/>
    </xf>
    <xf numFmtId="0" fontId="0" fillId="15" borderId="8" xfId="0" applyFill="1" applyBorder="1"/>
    <xf numFmtId="0" fontId="0" fillId="11" borderId="8" xfId="0" applyFill="1" applyBorder="1"/>
    <xf numFmtId="0" fontId="0" fillId="16" borderId="8" xfId="0" applyFill="1" applyBorder="1"/>
    <xf numFmtId="179" fontId="7" fillId="9" borderId="1" xfId="3" applyNumberFormat="1" applyFont="1" applyFill="1" applyBorder="1" applyAlignment="1">
      <alignment vertical="center"/>
    </xf>
    <xf numFmtId="169" fontId="7" fillId="9" borderId="2" xfId="3" applyNumberFormat="1" applyFont="1" applyFill="1" applyBorder="1" applyAlignment="1">
      <alignment horizontal="right" vertical="center"/>
    </xf>
    <xf numFmtId="180" fontId="7" fillId="9" borderId="2" xfId="3" applyNumberFormat="1" applyFont="1" applyFill="1" applyBorder="1" applyAlignment="1">
      <alignment horizontal="right" vertical="center"/>
    </xf>
    <xf numFmtId="171" fontId="7" fillId="9" borderId="2" xfId="3" applyNumberFormat="1" applyFont="1" applyFill="1" applyBorder="1" applyAlignment="1">
      <alignment horizontal="right" vertical="center"/>
    </xf>
    <xf numFmtId="177" fontId="9" fillId="9" borderId="2" xfId="0" applyNumberFormat="1" applyFont="1" applyFill="1" applyBorder="1" applyAlignment="1">
      <alignment horizontal="left" vertical="center" indent="3"/>
    </xf>
    <xf numFmtId="11" fontId="7" fillId="9" borderId="2" xfId="2" applyNumberFormat="1" applyFont="1" applyFill="1" applyBorder="1" applyAlignment="1">
      <alignment horizontal="right" vertical="center"/>
    </xf>
    <xf numFmtId="170" fontId="7" fillId="9" borderId="2" xfId="2" applyNumberFormat="1" applyFont="1" applyFill="1" applyBorder="1" applyAlignment="1">
      <alignment horizontal="right" vertical="center"/>
    </xf>
    <xf numFmtId="172" fontId="7" fillId="9" borderId="2" xfId="2" applyNumberFormat="1" applyFont="1" applyFill="1" applyBorder="1" applyAlignment="1">
      <alignment horizontal="right" vertical="center"/>
    </xf>
    <xf numFmtId="11" fontId="9" fillId="9" borderId="3" xfId="2" applyNumberFormat="1" applyFont="1" applyFill="1" applyBorder="1" applyAlignment="1">
      <alignment horizontal="right" vertical="center"/>
    </xf>
    <xf numFmtId="11" fontId="9" fillId="9" borderId="33" xfId="2" applyNumberFormat="1" applyFont="1" applyFill="1" applyBorder="1" applyAlignment="1">
      <alignment horizontal="right" vertical="center"/>
    </xf>
    <xf numFmtId="171" fontId="7" fillId="9" borderId="5" xfId="3" applyNumberFormat="1" applyFont="1" applyFill="1" applyBorder="1" applyAlignment="1">
      <alignment horizontal="right" vertical="center"/>
    </xf>
    <xf numFmtId="11" fontId="9" fillId="9" borderId="9" xfId="2" applyNumberFormat="1" applyFont="1" applyFill="1" applyBorder="1" applyAlignment="1">
      <alignment horizontal="right" vertical="center"/>
    </xf>
    <xf numFmtId="0" fontId="3" fillId="0" borderId="1" xfId="0" applyFont="1" applyBorder="1" applyAlignment="1">
      <alignment horizontal="center"/>
    </xf>
    <xf numFmtId="0" fontId="0" fillId="0" borderId="3" xfId="0" applyBorder="1"/>
    <xf numFmtId="0" fontId="4" fillId="0" borderId="6" xfId="0" applyFont="1" applyBorder="1"/>
    <xf numFmtId="0" fontId="3" fillId="0" borderId="9" xfId="0" applyFont="1" applyBorder="1"/>
    <xf numFmtId="0" fontId="3" fillId="8" borderId="8" xfId="0" applyFont="1" applyFill="1" applyBorder="1" applyAlignment="1">
      <alignment horizontal="center" vertical="center"/>
    </xf>
    <xf numFmtId="0" fontId="25" fillId="0" borderId="0" xfId="7"/>
    <xf numFmtId="0" fontId="3" fillId="0" borderId="8" xfId="0" applyFont="1" applyBorder="1" applyAlignment="1">
      <alignment horizontal="center"/>
    </xf>
    <xf numFmtId="182" fontId="0" fillId="0" borderId="8" xfId="0" applyNumberFormat="1" applyBorder="1"/>
    <xf numFmtId="167" fontId="0" fillId="0" borderId="8" xfId="0" applyNumberFormat="1" applyBorder="1"/>
    <xf numFmtId="0" fontId="2" fillId="6" borderId="8" xfId="4" applyBorder="1" applyAlignment="1">
      <alignment horizontal="center"/>
    </xf>
    <xf numFmtId="0" fontId="0" fillId="0" borderId="5" xfId="0" applyBorder="1"/>
    <xf numFmtId="0" fontId="3" fillId="0" borderId="5" xfId="0" applyFont="1" applyBorder="1"/>
    <xf numFmtId="0" fontId="1" fillId="6" borderId="8" xfId="4" applyFont="1" applyBorder="1" applyAlignment="1">
      <alignment horizontal="center"/>
    </xf>
    <xf numFmtId="1" fontId="0" fillId="0" borderId="8" xfId="0" applyNumberFormat="1" applyBorder="1" applyAlignment="1">
      <alignment horizontal="center"/>
    </xf>
    <xf numFmtId="0" fontId="0" fillId="19" borderId="38" xfId="0" applyFill="1" applyBorder="1" applyAlignment="1">
      <alignment wrapText="1"/>
    </xf>
    <xf numFmtId="0" fontId="0" fillId="19" borderId="39" xfId="0" applyFill="1" applyBorder="1"/>
    <xf numFmtId="0" fontId="0" fillId="19" borderId="39" xfId="0" applyFill="1" applyBorder="1" applyAlignment="1">
      <alignment wrapText="1"/>
    </xf>
    <xf numFmtId="0" fontId="0" fillId="0" borderId="40" xfId="0" applyBorder="1"/>
    <xf numFmtId="0" fontId="0" fillId="0" borderId="8" xfId="0" applyBorder="1" applyAlignment="1">
      <alignment wrapText="1"/>
    </xf>
    <xf numFmtId="0" fontId="28" fillId="0" borderId="0" xfId="10"/>
    <xf numFmtId="0" fontId="28" fillId="0" borderId="0" xfId="10" applyAlignment="1">
      <alignment wrapText="1"/>
    </xf>
    <xf numFmtId="0" fontId="28" fillId="20" borderId="41" xfId="10" applyFill="1" applyBorder="1" applyAlignment="1">
      <alignment wrapText="1"/>
    </xf>
    <xf numFmtId="0" fontId="28" fillId="20" borderId="42" xfId="10" applyFill="1" applyBorder="1" applyAlignment="1">
      <alignment wrapText="1"/>
    </xf>
    <xf numFmtId="0" fontId="28" fillId="0" borderId="42" xfId="10" applyBorder="1" applyAlignment="1">
      <alignment wrapText="1"/>
    </xf>
    <xf numFmtId="0" fontId="28" fillId="0" borderId="42" xfId="10" quotePrefix="1" applyBorder="1" applyAlignment="1">
      <alignment wrapText="1"/>
    </xf>
    <xf numFmtId="0" fontId="28" fillId="0" borderId="42" xfId="10" applyBorder="1"/>
    <xf numFmtId="0" fontId="28" fillId="0" borderId="43" xfId="10" applyBorder="1"/>
    <xf numFmtId="0" fontId="28" fillId="20" borderId="44" xfId="10" applyFill="1" applyBorder="1" applyAlignment="1">
      <alignment wrapText="1"/>
    </xf>
    <xf numFmtId="0" fontId="28" fillId="20" borderId="8" xfId="10" applyFill="1" applyBorder="1" applyAlignment="1">
      <alignment wrapText="1"/>
    </xf>
    <xf numFmtId="0" fontId="28" fillId="0" borderId="8" xfId="10" applyBorder="1" applyAlignment="1">
      <alignment wrapText="1"/>
    </xf>
    <xf numFmtId="0" fontId="28" fillId="0" borderId="8" xfId="10" quotePrefix="1" applyBorder="1" applyAlignment="1">
      <alignment wrapText="1"/>
    </xf>
    <xf numFmtId="0" fontId="28" fillId="0" borderId="8" xfId="10" applyBorder="1"/>
    <xf numFmtId="0" fontId="28" fillId="0" borderId="40" xfId="10" applyBorder="1"/>
    <xf numFmtId="0" fontId="27" fillId="0" borderId="8" xfId="10" applyFont="1" applyBorder="1" applyAlignment="1">
      <alignment wrapText="1"/>
    </xf>
    <xf numFmtId="0" fontId="28" fillId="20" borderId="10" xfId="10" applyFill="1" applyBorder="1" applyAlignment="1">
      <alignment wrapText="1"/>
    </xf>
    <xf numFmtId="0" fontId="28" fillId="0" borderId="10" xfId="10" applyBorder="1" applyAlignment="1">
      <alignment wrapText="1"/>
    </xf>
    <xf numFmtId="0" fontId="27" fillId="0" borderId="10" xfId="10" applyFont="1" applyBorder="1" applyAlignment="1">
      <alignment wrapText="1"/>
    </xf>
    <xf numFmtId="0" fontId="28" fillId="0" borderId="10" xfId="10" applyBorder="1"/>
    <xf numFmtId="0" fontId="28" fillId="0" borderId="31" xfId="10" applyBorder="1"/>
    <xf numFmtId="0" fontId="28" fillId="19" borderId="45" xfId="10" applyFill="1" applyBorder="1" applyAlignment="1">
      <alignment wrapText="1"/>
    </xf>
    <xf numFmtId="0" fontId="28" fillId="19" borderId="39" xfId="10" applyFill="1" applyBorder="1" applyAlignment="1">
      <alignment wrapText="1"/>
    </xf>
    <xf numFmtId="0" fontId="28" fillId="19" borderId="39" xfId="10" applyFill="1" applyBorder="1"/>
    <xf numFmtId="0" fontId="28" fillId="19" borderId="38" xfId="10" applyFill="1" applyBorder="1" applyAlignment="1">
      <alignment wrapText="1"/>
    </xf>
    <xf numFmtId="2" fontId="4" fillId="21" borderId="10" xfId="0" applyNumberFormat="1" applyFont="1" applyFill="1" applyBorder="1" applyAlignment="1">
      <alignment horizontal="center" vertical="center"/>
    </xf>
    <xf numFmtId="2" fontId="4" fillId="8" borderId="0" xfId="0" applyNumberFormat="1" applyFont="1" applyFill="1" applyAlignment="1">
      <alignment horizontal="right"/>
    </xf>
    <xf numFmtId="167" fontId="4" fillId="8" borderId="0" xfId="0" applyNumberFormat="1" applyFont="1" applyFill="1" applyAlignment="1">
      <alignment horizontal="right"/>
    </xf>
    <xf numFmtId="183" fontId="4" fillId="8" borderId="3" xfId="0" applyNumberFormat="1" applyFont="1" applyFill="1" applyBorder="1" applyAlignment="1">
      <alignment horizontal="right"/>
    </xf>
    <xf numFmtId="183" fontId="4" fillId="8" borderId="0" xfId="0" applyNumberFormat="1" applyFont="1" applyFill="1" applyAlignment="1">
      <alignment horizontal="right"/>
    </xf>
    <xf numFmtId="0" fontId="4" fillId="9" borderId="13" xfId="0" applyFont="1" applyFill="1" applyBorder="1" applyAlignment="1">
      <alignment horizontal="center" vertical="center" wrapText="1"/>
    </xf>
    <xf numFmtId="11" fontId="4" fillId="8" borderId="4" xfId="0" applyNumberFormat="1" applyFont="1" applyFill="1" applyBorder="1" applyAlignment="1">
      <alignment horizontal="center"/>
    </xf>
    <xf numFmtId="184" fontId="12" fillId="8" borderId="4" xfId="0" applyNumberFormat="1" applyFont="1" applyFill="1" applyBorder="1" applyAlignment="1">
      <alignment horizontal="left"/>
    </xf>
    <xf numFmtId="11" fontId="4" fillId="8" borderId="0" xfId="0" applyNumberFormat="1" applyFont="1" applyFill="1" applyAlignment="1">
      <alignment horizontal="right"/>
    </xf>
    <xf numFmtId="11" fontId="4" fillId="8" borderId="0" xfId="0" applyNumberFormat="1" applyFont="1" applyFill="1" applyAlignment="1">
      <alignment horizontal="center"/>
    </xf>
    <xf numFmtId="11" fontId="4" fillId="8" borderId="4" xfId="0" applyNumberFormat="1" applyFont="1" applyFill="1" applyBorder="1" applyAlignment="1">
      <alignment horizontal="left"/>
    </xf>
    <xf numFmtId="0" fontId="13" fillId="5" borderId="0" xfId="3" applyAlignment="1">
      <alignment wrapText="1"/>
    </xf>
    <xf numFmtId="184" fontId="12" fillId="8" borderId="4" xfId="0" applyNumberFormat="1" applyFont="1" applyFill="1" applyBorder="1" applyAlignment="1">
      <alignment horizontal="right"/>
    </xf>
    <xf numFmtId="181" fontId="4" fillId="8" borderId="0" xfId="0" applyNumberFormat="1" applyFont="1" applyFill="1" applyAlignment="1">
      <alignment horizontal="right"/>
    </xf>
    <xf numFmtId="1" fontId="4" fillId="8" borderId="0" xfId="0" applyNumberFormat="1" applyFont="1" applyFill="1" applyAlignment="1">
      <alignment horizontal="right"/>
    </xf>
    <xf numFmtId="11" fontId="4" fillId="8" borderId="0" xfId="0" applyNumberFormat="1" applyFont="1" applyFill="1" applyAlignment="1">
      <alignment horizontal="left"/>
    </xf>
    <xf numFmtId="0" fontId="4" fillId="9" borderId="12" xfId="0" applyFont="1" applyFill="1" applyBorder="1" applyAlignment="1">
      <alignment horizontal="center" vertical="center" wrapText="1"/>
    </xf>
    <xf numFmtId="2" fontId="4" fillId="21" borderId="8" xfId="0" applyNumberFormat="1" applyFont="1" applyFill="1" applyBorder="1" applyAlignment="1">
      <alignment horizontal="center" vertical="center"/>
    </xf>
    <xf numFmtId="183" fontId="4" fillId="8" borderId="33" xfId="0" applyNumberFormat="1" applyFont="1" applyFill="1" applyBorder="1" applyAlignment="1">
      <alignment horizontal="right"/>
    </xf>
    <xf numFmtId="11" fontId="4" fillId="8" borderId="6" xfId="0" applyNumberFormat="1" applyFont="1" applyFill="1" applyBorder="1" applyAlignment="1">
      <alignment horizontal="center"/>
    </xf>
    <xf numFmtId="184" fontId="12" fillId="8" borderId="6" xfId="0" applyNumberFormat="1" applyFont="1" applyFill="1" applyBorder="1" applyAlignment="1">
      <alignment horizontal="left"/>
    </xf>
    <xf numFmtId="11" fontId="4" fillId="8" borderId="5" xfId="0" applyNumberFormat="1" applyFont="1" applyFill="1" applyBorder="1" applyAlignment="1">
      <alignment horizontal="right"/>
    </xf>
    <xf numFmtId="2" fontId="4" fillId="8" borderId="5" xfId="0" applyNumberFormat="1" applyFont="1" applyFill="1" applyBorder="1" applyAlignment="1">
      <alignment horizontal="right"/>
    </xf>
    <xf numFmtId="167" fontId="4" fillId="8" borderId="5" xfId="0" applyNumberFormat="1" applyFont="1" applyFill="1" applyBorder="1" applyAlignment="1">
      <alignment horizontal="right"/>
    </xf>
    <xf numFmtId="183" fontId="4" fillId="8" borderId="9" xfId="0" applyNumberFormat="1" applyFont="1" applyFill="1" applyBorder="1" applyAlignment="1">
      <alignment horizontal="right"/>
    </xf>
    <xf numFmtId="11" fontId="4" fillId="8" borderId="1" xfId="0" applyNumberFormat="1" applyFont="1" applyFill="1" applyBorder="1" applyAlignment="1">
      <alignment horizontal="center"/>
    </xf>
    <xf numFmtId="184" fontId="12" fillId="8" borderId="1" xfId="0" applyNumberFormat="1" applyFont="1" applyFill="1" applyBorder="1" applyAlignment="1">
      <alignment horizontal="left"/>
    </xf>
    <xf numFmtId="11" fontId="4" fillId="8" borderId="2" xfId="0" applyNumberFormat="1" applyFont="1" applyFill="1" applyBorder="1" applyAlignment="1">
      <alignment horizontal="right"/>
    </xf>
    <xf numFmtId="2" fontId="4" fillId="8" borderId="2" xfId="0" applyNumberFormat="1" applyFont="1" applyFill="1" applyBorder="1" applyAlignment="1">
      <alignment horizontal="right"/>
    </xf>
    <xf numFmtId="167" fontId="4" fillId="8" borderId="2" xfId="0" applyNumberFormat="1" applyFont="1" applyFill="1" applyBorder="1" applyAlignment="1">
      <alignment horizontal="right"/>
    </xf>
    <xf numFmtId="0" fontId="13" fillId="5" borderId="3" xfId="3" applyBorder="1" applyAlignment="1">
      <alignment wrapText="1"/>
    </xf>
    <xf numFmtId="1" fontId="4" fillId="8" borderId="33" xfId="0" applyNumberFormat="1" applyFont="1" applyFill="1" applyBorder="1" applyAlignment="1">
      <alignment horizontal="right"/>
    </xf>
    <xf numFmtId="0" fontId="13" fillId="5" borderId="1" xfId="3" applyBorder="1" applyAlignment="1">
      <alignment wrapText="1"/>
    </xf>
    <xf numFmtId="11" fontId="4" fillId="8" borderId="7" xfId="0" applyNumberFormat="1" applyFont="1" applyFill="1" applyBorder="1" applyAlignment="1">
      <alignment horizontal="left"/>
    </xf>
    <xf numFmtId="184" fontId="12" fillId="8" borderId="7" xfId="0" applyNumberFormat="1" applyFont="1" applyFill="1" applyBorder="1" applyAlignment="1">
      <alignment horizontal="right"/>
    </xf>
    <xf numFmtId="184" fontId="12" fillId="8" borderId="8" xfId="0" applyNumberFormat="1" applyFont="1" applyFill="1" applyBorder="1" applyAlignment="1">
      <alignment horizontal="right"/>
    </xf>
    <xf numFmtId="0" fontId="13" fillId="5" borderId="12" xfId="3" applyBorder="1" applyAlignment="1">
      <alignment wrapText="1"/>
    </xf>
    <xf numFmtId="181" fontId="4" fillId="8" borderId="13" xfId="0" applyNumberFormat="1" applyFont="1" applyFill="1" applyBorder="1" applyAlignment="1">
      <alignment horizontal="right"/>
    </xf>
    <xf numFmtId="1" fontId="4" fillId="8" borderId="10" xfId="0" applyNumberFormat="1" applyFont="1" applyFill="1" applyBorder="1" applyAlignment="1">
      <alignment horizontal="right"/>
    </xf>
    <xf numFmtId="0" fontId="13" fillId="5" borderId="1" xfId="3" applyBorder="1" applyAlignment="1"/>
    <xf numFmtId="0" fontId="13" fillId="5" borderId="2" xfId="3" applyBorder="1" applyAlignment="1"/>
    <xf numFmtId="0" fontId="13" fillId="5" borderId="3" xfId="3" applyBorder="1" applyAlignment="1"/>
    <xf numFmtId="181" fontId="4" fillId="8" borderId="33" xfId="0" applyNumberFormat="1" applyFont="1" applyFill="1" applyBorder="1" applyAlignment="1">
      <alignment horizontal="right"/>
    </xf>
    <xf numFmtId="1" fontId="4" fillId="8" borderId="13" xfId="0" applyNumberFormat="1" applyFont="1" applyFill="1" applyBorder="1" applyAlignment="1">
      <alignment horizontal="right"/>
    </xf>
    <xf numFmtId="181" fontId="0" fillId="0" borderId="0" xfId="0" applyNumberFormat="1"/>
    <xf numFmtId="0" fontId="13" fillId="18" borderId="1" xfId="9" applyBorder="1"/>
    <xf numFmtId="0" fontId="13" fillId="18" borderId="2" xfId="9" applyBorder="1"/>
    <xf numFmtId="0" fontId="13" fillId="18" borderId="2" xfId="9" applyBorder="1" applyAlignment="1">
      <alignment wrapText="1"/>
    </xf>
    <xf numFmtId="0" fontId="13" fillId="18" borderId="3" xfId="9" applyBorder="1"/>
    <xf numFmtId="0" fontId="4" fillId="4" borderId="34" xfId="0" applyFont="1" applyFill="1" applyBorder="1"/>
    <xf numFmtId="0" fontId="4" fillId="4" borderId="5" xfId="0" applyFont="1" applyFill="1" applyBorder="1"/>
    <xf numFmtId="184" fontId="4" fillId="4" borderId="11" xfId="0" applyNumberFormat="1" applyFont="1" applyFill="1" applyBorder="1"/>
    <xf numFmtId="0" fontId="0" fillId="13" borderId="0" xfId="0" applyFill="1"/>
    <xf numFmtId="0" fontId="0" fillId="13" borderId="33" xfId="0" applyFill="1" applyBorder="1"/>
    <xf numFmtId="0" fontId="3" fillId="13" borderId="5" xfId="0" applyFont="1" applyFill="1" applyBorder="1"/>
    <xf numFmtId="0" fontId="0" fillId="13" borderId="5" xfId="0" applyFill="1" applyBorder="1"/>
    <xf numFmtId="0" fontId="0" fillId="13" borderId="9" xfId="0" applyFill="1" applyBorder="1"/>
    <xf numFmtId="0" fontId="3" fillId="22" borderId="0" xfId="0" applyFont="1" applyFill="1"/>
    <xf numFmtId="0" fontId="0" fillId="22" borderId="0" xfId="0" applyFill="1"/>
    <xf numFmtId="0" fontId="0" fillId="22" borderId="33" xfId="0" applyFill="1" applyBorder="1"/>
    <xf numFmtId="0" fontId="3" fillId="22" borderId="5" xfId="0" applyFont="1" applyFill="1" applyBorder="1"/>
    <xf numFmtId="0" fontId="0" fillId="22" borderId="5" xfId="0" applyFill="1" applyBorder="1"/>
    <xf numFmtId="0" fontId="0" fillId="22" borderId="9" xfId="0" applyFill="1" applyBorder="1"/>
    <xf numFmtId="0" fontId="3" fillId="7" borderId="0" xfId="0" applyFont="1" applyFill="1"/>
    <xf numFmtId="0" fontId="0" fillId="7" borderId="0" xfId="0" applyFill="1"/>
    <xf numFmtId="0" fontId="0" fillId="7" borderId="33" xfId="0" applyFill="1" applyBorder="1"/>
    <xf numFmtId="0" fontId="0" fillId="7" borderId="5" xfId="0" applyFill="1" applyBorder="1"/>
    <xf numFmtId="0" fontId="0" fillId="7" borderId="9" xfId="0" applyFill="1" applyBorder="1"/>
    <xf numFmtId="0" fontId="28" fillId="23" borderId="8" xfId="10" applyFill="1" applyBorder="1" applyAlignment="1">
      <alignment wrapText="1"/>
    </xf>
    <xf numFmtId="0" fontId="28" fillId="23" borderId="40" xfId="10" applyFill="1" applyBorder="1"/>
    <xf numFmtId="0" fontId="28" fillId="23" borderId="8" xfId="10" applyFill="1" applyBorder="1"/>
    <xf numFmtId="0" fontId="28" fillId="23" borderId="4" xfId="10" applyFill="1" applyBorder="1" applyAlignment="1">
      <alignment wrapText="1"/>
    </xf>
    <xf numFmtId="167" fontId="4" fillId="16" borderId="0" xfId="0" applyNumberFormat="1" applyFont="1" applyFill="1" applyAlignment="1">
      <alignment horizontal="right"/>
    </xf>
    <xf numFmtId="0" fontId="4" fillId="9" borderId="13" xfId="0" applyFont="1" applyFill="1" applyBorder="1" applyAlignment="1">
      <alignment horizontal="center" vertical="center"/>
    </xf>
    <xf numFmtId="0" fontId="4" fillId="9" borderId="33" xfId="0" applyFont="1" applyFill="1" applyBorder="1" applyAlignment="1">
      <alignment horizontal="center" vertical="center" wrapText="1"/>
    </xf>
    <xf numFmtId="185" fontId="4" fillId="8" borderId="0" xfId="0" applyNumberFormat="1" applyFont="1" applyFill="1" applyAlignment="1">
      <alignment horizontal="right"/>
    </xf>
    <xf numFmtId="186" fontId="4" fillId="8" borderId="0" xfId="0" applyNumberFormat="1" applyFont="1" applyFill="1"/>
    <xf numFmtId="187" fontId="4" fillId="8" borderId="0" xfId="0" applyNumberFormat="1" applyFont="1" applyFill="1" applyAlignment="1">
      <alignment horizontal="right"/>
    </xf>
    <xf numFmtId="185" fontId="4" fillId="16" borderId="0" xfId="0" applyNumberFormat="1" applyFont="1" applyFill="1" applyAlignment="1">
      <alignment horizontal="right"/>
    </xf>
    <xf numFmtId="0" fontId="4" fillId="8" borderId="0" xfId="0" applyFont="1" applyFill="1" applyAlignment="1">
      <alignment horizontal="right"/>
    </xf>
    <xf numFmtId="188" fontId="4" fillId="16" borderId="0" xfId="0" applyNumberFormat="1" applyFont="1" applyFill="1" applyAlignment="1">
      <alignment horizontal="right"/>
    </xf>
    <xf numFmtId="1" fontId="0" fillId="0" borderId="0" xfId="0" applyNumberFormat="1"/>
    <xf numFmtId="0" fontId="9" fillId="8" borderId="19" xfId="2" applyFont="1" applyFill="1" applyBorder="1" applyAlignment="1">
      <alignment horizontal="right" vertical="center" wrapText="1"/>
    </xf>
    <xf numFmtId="0" fontId="9" fillId="8" borderId="31" xfId="2" applyFont="1" applyFill="1" applyBorder="1" applyAlignment="1">
      <alignment horizontal="right" vertical="center" wrapText="1"/>
    </xf>
    <xf numFmtId="0" fontId="9" fillId="8" borderId="0" xfId="2" applyFont="1" applyFill="1" applyAlignment="1">
      <alignment horizontal="right" vertical="center" wrapText="1"/>
    </xf>
    <xf numFmtId="176" fontId="7" fillId="8" borderId="4" xfId="3" applyNumberFormat="1" applyFont="1" applyFill="1" applyBorder="1" applyAlignment="1">
      <alignment vertical="center"/>
    </xf>
    <xf numFmtId="4" fontId="7" fillId="8" borderId="20" xfId="2" applyNumberFormat="1" applyFont="1" applyFill="1" applyBorder="1" applyAlignment="1">
      <alignment horizontal="right" vertical="center"/>
    </xf>
    <xf numFmtId="0" fontId="4" fillId="0" borderId="0" xfId="2" applyFont="1"/>
    <xf numFmtId="0" fontId="4" fillId="0" borderId="0" xfId="0" applyFont="1"/>
    <xf numFmtId="0" fontId="3" fillId="0" borderId="8" xfId="2" applyBorder="1"/>
    <xf numFmtId="2" fontId="3" fillId="0" borderId="8" xfId="2" applyNumberFormat="1" applyBorder="1"/>
    <xf numFmtId="182" fontId="3" fillId="0" borderId="0" xfId="2" applyNumberFormat="1"/>
    <xf numFmtId="0" fontId="3" fillId="0" borderId="0" xfId="2" applyAlignment="1">
      <alignment horizontal="right"/>
    </xf>
    <xf numFmtId="0" fontId="34" fillId="24" borderId="0" xfId="11" applyFont="1"/>
    <xf numFmtId="14" fontId="34" fillId="24" borderId="0" xfId="11" applyNumberFormat="1" applyFont="1"/>
    <xf numFmtId="0" fontId="13" fillId="5" borderId="0" xfId="3"/>
    <xf numFmtId="167" fontId="3" fillId="0" borderId="0" xfId="2" applyNumberFormat="1"/>
    <xf numFmtId="3" fontId="3" fillId="0" borderId="0" xfId="2" applyNumberFormat="1"/>
    <xf numFmtId="0" fontId="35" fillId="0" borderId="0" xfId="0" applyFont="1" applyAlignment="1">
      <alignment vertical="center"/>
    </xf>
    <xf numFmtId="189" fontId="3" fillId="0" borderId="0" xfId="2" applyNumberFormat="1"/>
    <xf numFmtId="190" fontId="3" fillId="0" borderId="0" xfId="2" applyNumberFormat="1"/>
    <xf numFmtId="191" fontId="3" fillId="0" borderId="0" xfId="2" applyNumberFormat="1"/>
    <xf numFmtId="0" fontId="3" fillId="0" borderId="0" xfId="2" applyAlignment="1">
      <alignment horizontal="left"/>
    </xf>
    <xf numFmtId="0" fontId="3" fillId="0" borderId="8" xfId="2" applyBorder="1" applyAlignment="1">
      <alignment horizontal="right"/>
    </xf>
    <xf numFmtId="3" fontId="3" fillId="0" borderId="8" xfId="2" applyNumberFormat="1" applyBorder="1"/>
    <xf numFmtId="11" fontId="3" fillId="0" borderId="8" xfId="2" applyNumberFormat="1" applyBorder="1"/>
    <xf numFmtId="192" fontId="3" fillId="0" borderId="8" xfId="2" applyNumberFormat="1" applyBorder="1"/>
    <xf numFmtId="181" fontId="3" fillId="0" borderId="8" xfId="2" applyNumberFormat="1" applyBorder="1"/>
    <xf numFmtId="0" fontId="36" fillId="0" borderId="0" xfId="0" applyFont="1"/>
    <xf numFmtId="0" fontId="37" fillId="0" borderId="0" xfId="0" applyFont="1"/>
    <xf numFmtId="181" fontId="3" fillId="0" borderId="0" xfId="2" applyNumberFormat="1"/>
    <xf numFmtId="0" fontId="39" fillId="0" borderId="46" xfId="0" applyFont="1" applyBorder="1" applyAlignment="1">
      <alignment wrapText="1"/>
    </xf>
    <xf numFmtId="0" fontId="39" fillId="0" borderId="47" xfId="0" applyFont="1" applyBorder="1" applyAlignment="1">
      <alignment wrapText="1"/>
    </xf>
    <xf numFmtId="0" fontId="38" fillId="0" borderId="0" xfId="0" applyFont="1" applyAlignment="1">
      <alignment vertical="center"/>
    </xf>
    <xf numFmtId="0" fontId="39" fillId="0" borderId="0" xfId="0" applyFont="1" applyAlignment="1">
      <alignment wrapText="1"/>
    </xf>
    <xf numFmtId="0" fontId="40" fillId="0" borderId="0" xfId="0" applyFont="1" applyAlignment="1">
      <alignment vertical="center"/>
    </xf>
    <xf numFmtId="0" fontId="4" fillId="0" borderId="0" xfId="0" applyFont="1" applyAlignment="1">
      <alignment wrapText="1"/>
    </xf>
    <xf numFmtId="0" fontId="3" fillId="0" borderId="0" xfId="0" applyFont="1" applyAlignment="1">
      <alignment wrapText="1"/>
    </xf>
    <xf numFmtId="0" fontId="41" fillId="23" borderId="0" xfId="0" applyFont="1" applyFill="1" applyAlignment="1">
      <alignment horizontal="right" wrapText="1"/>
    </xf>
    <xf numFmtId="11" fontId="3" fillId="0" borderId="0" xfId="0" applyNumberFormat="1" applyFont="1" applyAlignment="1">
      <alignment horizontal="right" wrapText="1"/>
    </xf>
    <xf numFmtId="0" fontId="3" fillId="0" borderId="0" xfId="0" applyFont="1" applyAlignment="1">
      <alignment horizontal="right" wrapText="1"/>
    </xf>
    <xf numFmtId="0" fontId="41" fillId="0" borderId="0" xfId="0" applyFont="1" applyAlignment="1">
      <alignment horizontal="right" wrapText="1"/>
    </xf>
    <xf numFmtId="0" fontId="4" fillId="0" borderId="0" xfId="0" applyFont="1" applyAlignment="1">
      <alignment vertical="center"/>
    </xf>
    <xf numFmtId="0" fontId="42" fillId="25" borderId="0" xfId="0" applyFont="1" applyFill="1" applyAlignment="1">
      <alignment horizontal="center" vertical="center" wrapText="1"/>
    </xf>
    <xf numFmtId="0" fontId="41" fillId="23" borderId="0" xfId="0" applyFont="1" applyFill="1" applyAlignment="1">
      <alignment horizontal="center" vertical="center" wrapText="1"/>
    </xf>
    <xf numFmtId="11" fontId="3" fillId="0" borderId="0" xfId="0" applyNumberFormat="1" applyFont="1" applyAlignment="1">
      <alignment horizontal="center" vertical="center" wrapText="1"/>
    </xf>
    <xf numFmtId="10" fontId="3" fillId="0" borderId="0" xfId="0" applyNumberFormat="1" applyFont="1" applyAlignment="1">
      <alignment horizontal="center" vertical="center" wrapText="1"/>
    </xf>
    <xf numFmtId="0" fontId="41" fillId="26" borderId="0" xfId="0" applyFont="1" applyFill="1" applyAlignment="1">
      <alignment horizontal="center" vertical="center" wrapText="1"/>
    </xf>
    <xf numFmtId="0" fontId="43" fillId="0" borderId="0" xfId="0" applyFont="1" applyAlignment="1">
      <alignment vertical="center"/>
    </xf>
    <xf numFmtId="11" fontId="3" fillId="0" borderId="48" xfId="0" applyNumberFormat="1" applyFont="1" applyBorder="1" applyAlignment="1">
      <alignment horizontal="center" vertical="center" wrapText="1"/>
    </xf>
    <xf numFmtId="11" fontId="3" fillId="0" borderId="49" xfId="0" applyNumberFormat="1" applyFont="1" applyBorder="1" applyAlignment="1">
      <alignment horizontal="center" vertical="center" wrapText="1"/>
    </xf>
    <xf numFmtId="2" fontId="3" fillId="0" borderId="49" xfId="0" applyNumberFormat="1" applyFont="1" applyBorder="1" applyAlignment="1">
      <alignment horizontal="center" vertical="center" wrapText="1"/>
    </xf>
    <xf numFmtId="3" fontId="3" fillId="0" borderId="49" xfId="0" applyNumberFormat="1" applyFont="1" applyBorder="1" applyAlignment="1">
      <alignment horizontal="center" vertical="center" wrapText="1"/>
    </xf>
    <xf numFmtId="193" fontId="3" fillId="0" borderId="49" xfId="0" applyNumberFormat="1" applyFont="1" applyBorder="1" applyAlignment="1">
      <alignment horizontal="center" vertical="center" wrapText="1"/>
    </xf>
    <xf numFmtId="182" fontId="3" fillId="0" borderId="49" xfId="0" applyNumberFormat="1" applyFont="1" applyBorder="1" applyAlignment="1">
      <alignment horizontal="center" vertical="center" wrapText="1"/>
    </xf>
    <xf numFmtId="181" fontId="3" fillId="0" borderId="49" xfId="0" applyNumberFormat="1" applyFont="1" applyBorder="1" applyAlignment="1">
      <alignment horizontal="center" vertical="center" wrapText="1"/>
    </xf>
    <xf numFmtId="0" fontId="42" fillId="25" borderId="48" xfId="0" applyFont="1" applyFill="1" applyBorder="1" applyAlignment="1">
      <alignment horizontal="center" vertical="center" wrapText="1"/>
    </xf>
    <xf numFmtId="0" fontId="42" fillId="25" borderId="49" xfId="0" applyFont="1" applyFill="1" applyBorder="1" applyAlignment="1">
      <alignment horizontal="center" vertical="center" wrapText="1"/>
    </xf>
    <xf numFmtId="0" fontId="41" fillId="23" borderId="50" xfId="0" applyFont="1" applyFill="1" applyBorder="1" applyAlignment="1">
      <alignment horizontal="center" vertical="center" wrapText="1"/>
    </xf>
    <xf numFmtId="0" fontId="3" fillId="0" borderId="51" xfId="0" applyFont="1" applyBorder="1" applyAlignment="1">
      <alignment horizontal="center" vertical="center" wrapText="1"/>
    </xf>
    <xf numFmtId="11" fontId="3" fillId="0" borderId="51" xfId="0" applyNumberFormat="1" applyFont="1" applyBorder="1" applyAlignment="1">
      <alignment horizontal="center" vertical="center" wrapText="1"/>
    </xf>
    <xf numFmtId="10" fontId="3" fillId="0" borderId="51" xfId="0" applyNumberFormat="1" applyFont="1" applyBorder="1" applyAlignment="1">
      <alignment horizontal="center" vertical="center" wrapText="1"/>
    </xf>
    <xf numFmtId="0" fontId="41" fillId="26" borderId="50" xfId="0" applyFont="1" applyFill="1" applyBorder="1" applyAlignment="1">
      <alignment horizontal="center" vertical="center" wrapText="1"/>
    </xf>
    <xf numFmtId="0" fontId="3" fillId="0" borderId="48" xfId="0" applyFont="1" applyBorder="1" applyAlignment="1">
      <alignment wrapText="1"/>
    </xf>
    <xf numFmtId="0" fontId="41" fillId="23" borderId="49" xfId="0" applyFont="1" applyFill="1" applyBorder="1" applyAlignment="1">
      <alignment horizontal="right" wrapText="1"/>
    </xf>
    <xf numFmtId="2" fontId="3" fillId="0" borderId="51" xfId="0" applyNumberFormat="1" applyFont="1" applyBorder="1" applyAlignment="1">
      <alignment horizontal="center" vertical="center" wrapText="1"/>
    </xf>
    <xf numFmtId="0" fontId="12" fillId="0" borderId="0" xfId="2" applyFont="1" applyAlignment="1">
      <alignment horizontal="left"/>
    </xf>
    <xf numFmtId="0" fontId="3" fillId="0" borderId="0" xfId="0" applyFont="1" applyAlignment="1">
      <alignment horizontal="left" vertical="center" wrapText="1"/>
    </xf>
    <xf numFmtId="0" fontId="3" fillId="0" borderId="0" xfId="0" quotePrefix="1" applyFont="1" applyAlignment="1">
      <alignment horizontal="center" vertical="center"/>
    </xf>
    <xf numFmtId="0" fontId="3" fillId="0" borderId="0" xfId="0" applyFont="1" applyAlignment="1">
      <alignment horizontal="center" vertical="center"/>
    </xf>
    <xf numFmtId="0" fontId="14" fillId="6" borderId="2" xfId="4" applyFont="1" applyBorder="1" applyAlignment="1">
      <alignment horizontal="center" vertical="center"/>
    </xf>
    <xf numFmtId="0" fontId="14" fillId="6" borderId="5" xfId="4" applyFont="1" applyBorder="1" applyAlignment="1">
      <alignment horizontal="center" vertical="center"/>
    </xf>
    <xf numFmtId="0" fontId="14" fillId="6" borderId="2" xfId="4" applyFont="1" applyBorder="1" applyAlignment="1">
      <alignment horizontal="center" vertical="center" wrapText="1"/>
    </xf>
    <xf numFmtId="0" fontId="14" fillId="6" borderId="5" xfId="4" applyFont="1" applyBorder="1" applyAlignment="1">
      <alignment horizontal="center" vertical="center" wrapText="1"/>
    </xf>
    <xf numFmtId="0" fontId="21" fillId="7" borderId="26" xfId="0" applyFont="1" applyFill="1" applyBorder="1" applyAlignment="1">
      <alignment horizontal="center" vertical="top" wrapText="1"/>
    </xf>
    <xf numFmtId="0" fontId="21" fillId="7" borderId="16" xfId="0" applyFont="1" applyFill="1" applyBorder="1" applyAlignment="1">
      <alignment horizontal="center" vertical="top" wrapText="1"/>
    </xf>
    <xf numFmtId="0" fontId="21" fillId="7" borderId="27" xfId="0" applyFont="1" applyFill="1" applyBorder="1" applyAlignment="1">
      <alignment horizontal="center" vertical="top" wrapText="1"/>
    </xf>
    <xf numFmtId="0" fontId="9" fillId="6" borderId="16" xfId="4" applyFont="1" applyBorder="1" applyAlignment="1">
      <alignment horizontal="center" vertical="center"/>
    </xf>
    <xf numFmtId="0" fontId="9" fillId="6" borderId="0" xfId="4" applyFont="1" applyBorder="1" applyAlignment="1">
      <alignment horizontal="center" vertical="center"/>
    </xf>
    <xf numFmtId="0" fontId="9" fillId="6" borderId="16" xfId="4" applyFont="1" applyBorder="1" applyAlignment="1">
      <alignment horizontal="center" vertical="center" wrapText="1"/>
    </xf>
    <xf numFmtId="0" fontId="9" fillId="6" borderId="0" xfId="4" applyFont="1" applyBorder="1" applyAlignment="1">
      <alignment horizontal="center" vertical="center" wrapText="1"/>
    </xf>
    <xf numFmtId="0" fontId="9" fillId="6" borderId="26" xfId="4" applyFont="1" applyBorder="1" applyAlignment="1">
      <alignment horizontal="center" vertical="center"/>
    </xf>
    <xf numFmtId="0" fontId="9" fillId="6" borderId="19" xfId="4" applyFont="1" applyBorder="1" applyAlignment="1">
      <alignment horizontal="center" vertical="center"/>
    </xf>
    <xf numFmtId="0" fontId="9" fillId="6" borderId="17" xfId="4" applyFont="1" applyBorder="1" applyAlignment="1">
      <alignment horizontal="center" vertical="center" wrapText="1"/>
    </xf>
    <xf numFmtId="0" fontId="9" fillId="6" borderId="18" xfId="4" applyFont="1" applyBorder="1" applyAlignment="1">
      <alignment horizontal="center" vertical="center" wrapText="1"/>
    </xf>
    <xf numFmtId="0" fontId="7" fillId="8" borderId="1" xfId="2" applyFont="1" applyFill="1" applyBorder="1" applyAlignment="1">
      <alignment horizontal="center" vertical="center" wrapText="1"/>
    </xf>
    <xf numFmtId="0" fontId="7" fillId="8" borderId="4" xfId="2" applyFont="1" applyFill="1" applyBorder="1" applyAlignment="1">
      <alignment horizontal="center" vertical="center" wrapText="1"/>
    </xf>
    <xf numFmtId="0" fontId="7" fillId="8" borderId="6" xfId="2" applyFont="1" applyFill="1" applyBorder="1" applyAlignment="1">
      <alignment horizontal="center" vertical="center" wrapText="1"/>
    </xf>
    <xf numFmtId="0" fontId="12" fillId="9" borderId="1" xfId="2" applyFont="1" applyFill="1" applyBorder="1" applyAlignment="1">
      <alignment horizontal="center" vertical="center" wrapText="1"/>
    </xf>
    <xf numFmtId="0" fontId="12" fillId="9" borderId="2" xfId="2" applyFont="1" applyFill="1" applyBorder="1" applyAlignment="1">
      <alignment horizontal="center" vertical="center" wrapText="1"/>
    </xf>
    <xf numFmtId="0" fontId="12" fillId="9" borderId="3" xfId="2" applyFont="1" applyFill="1" applyBorder="1" applyAlignment="1">
      <alignment horizontal="center" vertical="center" wrapText="1"/>
    </xf>
    <xf numFmtId="0" fontId="12" fillId="9" borderId="12" xfId="2" applyFont="1" applyFill="1" applyBorder="1" applyAlignment="1">
      <alignment horizontal="center" vertical="center" wrapText="1"/>
    </xf>
    <xf numFmtId="0" fontId="12" fillId="9" borderId="13" xfId="2" applyFont="1" applyFill="1" applyBorder="1" applyAlignment="1">
      <alignment horizontal="center" vertical="center" wrapText="1"/>
    </xf>
    <xf numFmtId="0" fontId="12" fillId="9" borderId="10" xfId="2" applyFont="1" applyFill="1" applyBorder="1" applyAlignment="1">
      <alignment horizontal="center" vertical="center" wrapText="1"/>
    </xf>
    <xf numFmtId="0" fontId="9" fillId="9" borderId="1" xfId="2" applyFont="1" applyFill="1" applyBorder="1" applyAlignment="1">
      <alignment horizontal="center" vertical="center" wrapText="1"/>
    </xf>
    <xf numFmtId="0" fontId="9" fillId="9" borderId="2" xfId="2" applyFont="1" applyFill="1" applyBorder="1" applyAlignment="1">
      <alignment horizontal="center" vertical="center" wrapText="1"/>
    </xf>
    <xf numFmtId="0" fontId="9" fillId="9" borderId="3" xfId="2" applyFont="1" applyFill="1" applyBorder="1" applyAlignment="1">
      <alignment horizontal="center" vertical="center" wrapText="1"/>
    </xf>
    <xf numFmtId="0" fontId="9" fillId="9" borderId="6" xfId="2" applyFont="1" applyFill="1" applyBorder="1" applyAlignment="1">
      <alignment horizontal="center" vertical="center" wrapText="1"/>
    </xf>
    <xf numFmtId="0" fontId="9" fillId="9" borderId="5" xfId="2" applyFont="1" applyFill="1" applyBorder="1" applyAlignment="1">
      <alignment horizontal="center" vertical="center" wrapText="1"/>
    </xf>
    <xf numFmtId="0" fontId="9" fillId="9" borderId="9" xfId="2" applyFont="1" applyFill="1" applyBorder="1" applyAlignment="1">
      <alignment horizontal="center" vertical="center" wrapText="1"/>
    </xf>
    <xf numFmtId="0" fontId="9" fillId="9" borderId="11" xfId="2" applyFont="1" applyFill="1" applyBorder="1" applyAlignment="1">
      <alignment horizontal="center" vertical="center" wrapText="1"/>
    </xf>
    <xf numFmtId="0" fontId="9" fillId="9" borderId="12" xfId="2" applyFont="1" applyFill="1" applyBorder="1" applyAlignment="1">
      <alignment horizontal="center" vertical="center" wrapText="1"/>
    </xf>
    <xf numFmtId="0" fontId="9" fillId="9" borderId="10" xfId="2" applyFont="1" applyFill="1" applyBorder="1" applyAlignment="1">
      <alignment horizontal="center" vertical="center" wrapText="1"/>
    </xf>
    <xf numFmtId="0" fontId="9" fillId="9" borderId="8" xfId="2" applyFont="1" applyFill="1" applyBorder="1" applyAlignment="1">
      <alignment horizontal="center" vertical="center" wrapText="1"/>
    </xf>
    <xf numFmtId="0" fontId="4" fillId="8" borderId="0" xfId="2" applyFont="1" applyFill="1" applyAlignment="1">
      <alignment horizontal="center" vertical="center"/>
    </xf>
    <xf numFmtId="0" fontId="12" fillId="9" borderId="4" xfId="2" applyFont="1" applyFill="1" applyBorder="1" applyAlignment="1">
      <alignment horizontal="center" vertical="center" wrapText="1"/>
    </xf>
    <xf numFmtId="0" fontId="9" fillId="9" borderId="13" xfId="2" applyFont="1" applyFill="1" applyBorder="1" applyAlignment="1">
      <alignment horizontal="center" vertical="center" wrapText="1"/>
    </xf>
    <xf numFmtId="0" fontId="3" fillId="0" borderId="0" xfId="0" applyFont="1" applyAlignment="1">
      <alignment horizontal="center"/>
    </xf>
    <xf numFmtId="0" fontId="0" fillId="0" borderId="0" xfId="0" applyAlignment="1">
      <alignment horizontal="center"/>
    </xf>
    <xf numFmtId="2" fontId="4" fillId="21" borderId="4" xfId="0" applyNumberFormat="1" applyFont="1" applyFill="1" applyBorder="1" applyAlignment="1">
      <alignment horizontal="center" vertical="center"/>
    </xf>
    <xf numFmtId="2" fontId="4" fillId="21" borderId="0" xfId="0" applyNumberFormat="1" applyFont="1" applyFill="1" applyAlignment="1">
      <alignment horizontal="center" vertical="center"/>
    </xf>
    <xf numFmtId="2" fontId="4" fillId="21" borderId="33" xfId="0" applyNumberFormat="1" applyFont="1" applyFill="1" applyBorder="1" applyAlignment="1">
      <alignment horizontal="center" vertical="center"/>
    </xf>
    <xf numFmtId="0" fontId="0" fillId="7" borderId="4" xfId="0" applyFill="1" applyBorder="1" applyAlignment="1">
      <alignment horizontal="center" vertical="center"/>
    </xf>
    <xf numFmtId="0" fontId="0" fillId="7" borderId="6" xfId="0" applyFill="1" applyBorder="1" applyAlignment="1">
      <alignment horizontal="center" vertical="center"/>
    </xf>
    <xf numFmtId="0" fontId="13" fillId="5" borderId="1" xfId="3" applyBorder="1" applyAlignment="1">
      <alignment horizontal="center" wrapText="1"/>
    </xf>
    <xf numFmtId="0" fontId="13" fillId="5" borderId="3" xfId="3" applyBorder="1" applyAlignment="1">
      <alignment horizontal="center" wrapText="1"/>
    </xf>
    <xf numFmtId="0" fontId="0" fillId="22" borderId="4" xfId="0" applyFill="1" applyBorder="1" applyAlignment="1">
      <alignment horizontal="center" vertical="center"/>
    </xf>
    <xf numFmtId="0" fontId="0" fillId="22" borderId="6" xfId="0" applyFill="1" applyBorder="1" applyAlignment="1">
      <alignment horizontal="center" vertical="center"/>
    </xf>
    <xf numFmtId="0" fontId="0" fillId="13" borderId="4" xfId="0" applyFill="1" applyBorder="1" applyAlignment="1">
      <alignment horizontal="center" vertical="center"/>
    </xf>
    <xf numFmtId="0" fontId="0" fillId="13" borderId="6" xfId="0" applyFill="1" applyBorder="1" applyAlignment="1">
      <alignment horizontal="center" vertical="center"/>
    </xf>
    <xf numFmtId="0" fontId="29" fillId="17" borderId="0" xfId="8" applyFont="1" applyAlignment="1">
      <alignment horizontal="center"/>
    </xf>
    <xf numFmtId="2" fontId="4" fillId="21" borderId="7" xfId="0" applyNumberFormat="1" applyFont="1" applyFill="1" applyBorder="1" applyAlignment="1">
      <alignment horizontal="center" vertical="center"/>
    </xf>
    <xf numFmtId="2" fontId="4" fillId="21" borderId="34" xfId="0" applyNumberFormat="1" applyFont="1" applyFill="1" applyBorder="1" applyAlignment="1">
      <alignment horizontal="center" vertical="center"/>
    </xf>
    <xf numFmtId="2" fontId="4" fillId="21" borderId="11" xfId="0" applyNumberFormat="1" applyFont="1" applyFill="1" applyBorder="1" applyAlignment="1">
      <alignment horizontal="center" vertical="center"/>
    </xf>
    <xf numFmtId="0" fontId="13" fillId="5" borderId="1" xfId="3" applyBorder="1" applyAlignment="1">
      <alignment horizontal="center"/>
    </xf>
    <xf numFmtId="0" fontId="13" fillId="5" borderId="2" xfId="3" applyBorder="1" applyAlignment="1">
      <alignment horizontal="center"/>
    </xf>
    <xf numFmtId="0" fontId="13" fillId="5" borderId="3" xfId="3" applyBorder="1" applyAlignment="1">
      <alignment horizontal="center"/>
    </xf>
    <xf numFmtId="0" fontId="4" fillId="0" borderId="52" xfId="0" applyFont="1" applyBorder="1" applyAlignment="1">
      <alignment wrapText="1"/>
    </xf>
    <xf numFmtId="0" fontId="39" fillId="0" borderId="52" xfId="0" applyFont="1" applyBorder="1" applyAlignment="1">
      <alignment wrapText="1"/>
    </xf>
    <xf numFmtId="0" fontId="3" fillId="0" borderId="50" xfId="0" applyFont="1" applyBorder="1" applyAlignment="1">
      <alignment wrapText="1"/>
    </xf>
    <xf numFmtId="0" fontId="41" fillId="23" borderId="51" xfId="0" applyFont="1" applyFill="1" applyBorder="1" applyAlignment="1">
      <alignment horizontal="right" wrapText="1"/>
    </xf>
    <xf numFmtId="0" fontId="3" fillId="0" borderId="51" xfId="0" applyFont="1" applyBorder="1" applyAlignment="1">
      <alignment wrapText="1"/>
    </xf>
    <xf numFmtId="0" fontId="4" fillId="0" borderId="52" xfId="0" applyFont="1" applyBorder="1" applyAlignment="1">
      <alignment vertical="center"/>
    </xf>
    <xf numFmtId="0" fontId="3" fillId="0" borderId="51" xfId="0" applyFont="1" applyBorder="1" applyAlignment="1">
      <alignment horizontal="right" wrapText="1"/>
    </xf>
    <xf numFmtId="11" fontId="3" fillId="0" borderId="51" xfId="0" applyNumberFormat="1" applyFont="1" applyBorder="1" applyAlignment="1">
      <alignment horizontal="right" wrapText="1"/>
    </xf>
    <xf numFmtId="0" fontId="41" fillId="23" borderId="53" xfId="0" applyFont="1" applyFill="1" applyBorder="1" applyAlignment="1">
      <alignment horizontal="center" vertical="center" wrapText="1"/>
    </xf>
    <xf numFmtId="0" fontId="41" fillId="26" borderId="54" xfId="0" applyFont="1" applyFill="1" applyBorder="1" applyAlignment="1">
      <alignment horizontal="center" vertical="center" wrapText="1"/>
    </xf>
    <xf numFmtId="0" fontId="41" fillId="23" borderId="54" xfId="0" applyFont="1" applyFill="1" applyBorder="1" applyAlignment="1">
      <alignment horizontal="center" vertical="center" wrapText="1"/>
    </xf>
    <xf numFmtId="0" fontId="42" fillId="25" borderId="55" xfId="0" applyFont="1" applyFill="1" applyBorder="1" applyAlignment="1">
      <alignment horizontal="center" vertical="center" wrapText="1"/>
    </xf>
    <xf numFmtId="0" fontId="39" fillId="0" borderId="8" xfId="0" applyFont="1" applyBorder="1" applyAlignment="1">
      <alignment horizontal="right" wrapText="1"/>
    </xf>
    <xf numFmtId="3" fontId="39" fillId="0" borderId="8" xfId="0" applyNumberFormat="1" applyFont="1" applyBorder="1" applyAlignment="1">
      <alignment wrapText="1"/>
    </xf>
    <xf numFmtId="209" fontId="39" fillId="0" borderId="8" xfId="0" applyNumberFormat="1" applyFont="1" applyBorder="1" applyAlignment="1">
      <alignment wrapText="1"/>
    </xf>
    <xf numFmtId="11" fontId="39" fillId="0" borderId="8" xfId="0" applyNumberFormat="1" applyFont="1" applyBorder="1" applyAlignment="1">
      <alignment wrapText="1"/>
    </xf>
    <xf numFmtId="181" fontId="3" fillId="0" borderId="8" xfId="0" applyNumberFormat="1" applyFont="1" applyBorder="1" applyAlignment="1">
      <alignment horizontal="center" vertical="center" wrapText="1"/>
    </xf>
  </cellXfs>
  <cellStyles count="12">
    <cellStyle name="60% - Accent1" xfId="4" builtinId="32"/>
    <cellStyle name="Accent1" xfId="3" builtinId="29"/>
    <cellStyle name="Accent5" xfId="9" builtinId="45"/>
    <cellStyle name="Calculation" xfId="6" builtinId="22"/>
    <cellStyle name="Good" xfId="11" builtinId="26"/>
    <cellStyle name="Hyperlink" xfId="7" builtinId="8"/>
    <cellStyle name="Neutral" xfId="8" builtinId="28"/>
    <cellStyle name="Normal" xfId="0" builtinId="0"/>
    <cellStyle name="Normal 2" xfId="5" xr:uid="{A67024A6-6243-4A9B-8FDE-F48CC4015300}"/>
    <cellStyle name="Normal 2 2" xfId="1" xr:uid="{00000000-0005-0000-0000-000001000000}"/>
    <cellStyle name="Normal 3" xfId="10" xr:uid="{5C7CB216-1BB5-41C9-8CF7-1289800ADF57}"/>
    <cellStyle name="Normal 3 2" xfId="2" xr:uid="{00000000-0005-0000-0000-000002000000}"/>
  </cellStyles>
  <dxfs count="77">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rgb="FFB8E08C"/>
        </patternFill>
      </fill>
    </dxf>
    <dxf>
      <fill>
        <patternFill>
          <bgColor rgb="FFFF9393"/>
        </patternFill>
      </fill>
    </dxf>
    <dxf>
      <fill>
        <patternFill>
          <bgColor rgb="FFFFE181"/>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79998168889431442"/>
        </patternFill>
      </fill>
    </dxf>
    <dxf>
      <fill>
        <patternFill>
          <bgColor rgb="FFFFC000"/>
        </patternFill>
      </fill>
    </dxf>
    <dxf>
      <fill>
        <patternFill>
          <bgColor theme="5" tint="0.79998168889431442"/>
        </patternFill>
      </fill>
    </dxf>
    <dxf>
      <fill>
        <patternFill>
          <bgColor rgb="FFFFC000"/>
        </patternFill>
      </fill>
    </dxf>
    <dxf>
      <fill>
        <patternFill>
          <bgColor theme="5" tint="0.59996337778862885"/>
        </patternFill>
      </fill>
    </dxf>
    <dxf>
      <fill>
        <patternFill>
          <bgColor theme="5" tint="0.79998168889431442"/>
        </patternFill>
      </fill>
    </dxf>
    <dxf>
      <fill>
        <patternFill>
          <bgColor rgb="FFFFC000"/>
        </patternFill>
      </fill>
    </dxf>
    <dxf>
      <fill>
        <patternFill>
          <bgColor rgb="FFFFC000"/>
        </patternFill>
      </fill>
    </dxf>
    <dxf>
      <fill>
        <patternFill>
          <bgColor theme="5" tint="0.79998168889431442"/>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_rels/drawing4.x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1.wmf"/></Relationships>
</file>

<file path=xl/drawings/drawing1.xml><?xml version="1.0" encoding="utf-8"?>
<xdr:wsDr xmlns:xdr="http://schemas.openxmlformats.org/drawingml/2006/spreadsheetDrawing" xmlns:a="http://schemas.openxmlformats.org/drawingml/2006/main">
  <xdr:twoCellAnchor editAs="oneCell">
    <xdr:from>
      <xdr:col>5</xdr:col>
      <xdr:colOff>661620</xdr:colOff>
      <xdr:row>5</xdr:row>
      <xdr:rowOff>58615</xdr:rowOff>
    </xdr:from>
    <xdr:to>
      <xdr:col>12</xdr:col>
      <xdr:colOff>282842</xdr:colOff>
      <xdr:row>33</xdr:row>
      <xdr:rowOff>46147</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57595" y="868240"/>
          <a:ext cx="4955222" cy="4521432"/>
        </a:xfrm>
        <a:prstGeom prst="rect">
          <a:avLst/>
        </a:prstGeom>
      </xdr:spPr>
    </xdr:pic>
    <xdr:clientData/>
  </xdr:twoCellAnchor>
  <xdr:twoCellAnchor editAs="oneCell">
    <xdr:from>
      <xdr:col>2</xdr:col>
      <xdr:colOff>0</xdr:colOff>
      <xdr:row>6</xdr:row>
      <xdr:rowOff>0</xdr:rowOff>
    </xdr:from>
    <xdr:to>
      <xdr:col>2</xdr:col>
      <xdr:colOff>304800</xdr:colOff>
      <xdr:row>7</xdr:row>
      <xdr:rowOff>142875</xdr:rowOff>
    </xdr:to>
    <xdr:sp macro="" textlink="">
      <xdr:nvSpPr>
        <xdr:cNvPr id="1025" name="AutoShape 1" descr="data:image/jpeg;base64,/9j/4AAQSkZJRgABAQEA3ADcAAD/2wBDAAMCAgMCAgMDAwMEAwMEBQgFBQQEBQoHBwYIDAoMDAsKCwsNDhIQDQ4RDgsLEBYQERMUFRUVDA8XGBYUGBIUFRT/2wBDAQMEBAUEBQkFBQkUDQsNFBQUFBQUFBQUFBQUFBQUFBQUFBQUFBQUFBQUFBQUFBQUFBQUFBQUFBQUFBQUFBQUFBT/wAARCAZABM8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KACk/nS0UAecfGqR4/DtoFdkDXShgpxkbHOD+VVoPgrp0sSMb+8G4Z6p/wDE1P8AHD/kXrL/AK+1/wDQHr0Cz/49Yj/sivzOWU4LNc8xKxlNT5Yxtfpc9uOKrYfCQ9lK127/AIHn/wDwpHTf+ghefmn/AMTR/wAKP0z/AJ/7z80/+Jr0fbRj3r2f9T8j/wCgZfj/AJmH9qYz/n6zzj/hR+mf8/8Aefmn/wATR/wo/TP+f+8/NP8A4mvR8e9GPej/AFPyP/oGX4/5j/tTGf8AP1nnH/Cj9M/5/wC8/NP/AImj/hR+mf8AP/efmn/xNej496Me9H+p+R/9Ay/H/MP7Uxn/AD9Z5x/wo/TP+f8AvPzT/wCJo/4Ufpn/AD/3n5p/8TXo+PejHvR/qfkf/QMvx/zD+1MZ/wA/Wecf8KP0z/n/ALz80/8AiaP+FH6Z/wA/95+af/E16Pj3ox70f6n5H/0DL8f8w/tTGf8AP1nnH/Cj9M/5/wC8/NP/AImj/hR+mf8AP/efmn/xNej496Me9H+p+R/9Ay/H/MP7Uxn/AD9Z5x/wo/TP+f8AvPzT/wCJo/4Ufpn/AD/3n5p/8TXo+PejHvR/qfkf/QMvx/zD+1MZ/wA/Wecf8KP0z/n/ALz80/8AiaP+FH6Z/wA/95+af/E16Pj3ox70f6n5H/0DL8f8w/tTGf8AP1nnH/Cj9M/5/wC8/NP/AImj/hR+mf8AP/efmn/xNej7aMe9H+p+R/8AQMvx/wAw/tTGf8/Wecf8KP0z/n/vPzT/AOJo/wCFH6Z/z/3n5p/8TXo+PejbR/qfkf8A0DL8f8w/tTGf8/Wecf8ACj9M/wCf+8/NP/iaP+FH6Z/z/wB5+af/ABNej496Me9H+p+R/wDQMvx/zD+1MZ/z9Z5x/wAKP0z/AJ/7z80/+Jo/4Ufpn/P/AHn5p/8AE16Pj3ox70f6n5H/ANAy/H/MP7Uxn/P1nnH/AAo/TP8An/vPzT/4mj/hR+mf8/8Aefmn/wATXo+PejHvR/qfkf8A0DL8f8w/tTGf8/Web/8ACj9M/wCf+8/NP/iaP+FH6b/z/wB5+af/ABNekfjWLeeMNB025e2u9ZsLa4T70M1yiOvGeQTkcVMuEchjrLDpfN/5i/tTGf8AP1nI/wDCj9N/6CF5+af/ABNH/Cj9N/6CF5+af/E11H/Cf+GP+hh0v/wMj/xo/wCE/wDDH/Qw6X/4GR/41H+qvD//AD4j97/zD+1MZ/z9Zy//AAo/Tf8AoIXn5p/8TR/wo/Tf+ghefmn/AMTXUf8ACf8Ahj/oYdL/APAyP/Gj/hP/AAx/0MOl/wDgZH/jR/qrw/8A8+I/e/8AMP7Uxn/P1nL/APCj9N/6CF5+af8AxNH/AAo/Tf8AoIXn5p/8TXUf8J/4Y/6GHS//AAMj/wAaP+E/8Mf9DDpf/gZH/jR/qrw//wA+I/e/8w/tTGf8/Wcv/wAKP03/AKCF5+af/E0f8KP03/oIXn5p/wDE11H/AAn/AIY/6GHS/wDwMj/xo/4T/wAMf9DDpf8A4GR/40f6q8P/APPiP3v/ADD+1MZ/z9Zy/wDwo/Tf+ghefmn/AMTR/wAKP03/AKCF5+af/E11H/Cf+GP+hh0v/wADI/8AGj/hP/DH/QxaX/4GR/40f6q8P/8APiP3v/MP7Uxn/P1nK/8ACkdO/wCf+7/NP/ia5nx78O7Twno8V3b3U8zvMsRWQrjBBPYD0r1D/hPvDX/Qw6X/AOBkf/xVcF8YvGXh+68N26wa5p0zC5U7Y7qNj91vQ189n3DeS4fLK1TD0UppXVm7/mdmDzLFTxEFOpo3qXNO+DWm3ljBO1/dgyRq5AKY5Gf7tWf+FIaZ/wBBC8/NP/ia29F8eeGo9Ks1bxBpYYQoCPtkefuj3q9/wn3hn/oYdL/8DI//AIqvXwvC2QyoU3OjG9l1f+ZzzzTGKTtUZy3/AAo/Tf8AoIXn5p/8TR/wo/Tf+ghefmn/AMTXUf8ACf8Ahj/oYdL/APAyP/Gj/hP/AAx/0MOl/wDgZH/jXV/qrw//AM+I/e/8zP8AtTGf8/Wcv/wo/Tf+ghefmn/xNH/Cj9N/6CF5+af/ABNdR/wn/hj/AKGHS/8AwMj/AMaP+E/8Mf8AQw6X/wCBkf8AjR/qrw//AM+I/e/8w/tTGf8AP1nL/wDCj9N/6CF5+af/ABNH/Cj9N/6CF5+af/E11H/Cf+GP+hh0v/wMj/xo/wCE/wDDH/Qw6X/4GR/40f6q8P8A/PiP3v8AzD+1MZ/z9Zy//Cj9N/6CF5+af/E0f8KP03/oIXn5p/8AE11H/Cf+GP8AoYdL/wDAyP8Axo/4T/wx/wBDDpf/AIGR/wCNH+qvD/8Az4j97/zD+1MZ/wA/Wcv/AMKP03/oIXn5p/8AE0f8KP03/oIXn5p/8TXUf8J/4Y/6GHS//AyP/Gj/AIT/AMMf9DDpf/gZH/jR/qrw/wD8+I/e/wDMP7Uxn/P1nL/8KP03/oIXn5p/8TR/wo/Tf+ghefmn/wATXUf8J/4Y/wChh0v/AMDI/wDGj/hP/DH/AEMOl/8AgZH/AI0f6q8P/wDPiP3v/MP7Uxn/AD9Zy/8Awo/Tf+ghefmn/wATR/wo/Tf+ghefmn/xNdR/wn/hj/oYdL/8DI/8aP8AhP8Awx/0MOl/+Bkf+NH+qvD/APz4j97/AMw/tTGf8/Wcv/wo/Tf+ghefmn/xNH/Cj9N/6CF5+af/ABNdR/wn/hj/AKGHS/8AwMj/AMaP+E/8Mf8AQw6X/wCBkf8AjR/qrw//AM+I/e/8w/tTGf8AP1nL/wDCj9N/6CF5+af/ABNH/Cj9N/6CF5+af/E11H/Cf+GP+hh0v/wMj/xo/wCE/wDDH/Qw6X/4GR/40f6q8P8A/PiP3v8AzD+1MZ/z9Zy//Cj9N/6CF5+af/E0f8KP03/oIXn5p/8AE11H/Cf+GP8AoYdL/wDAyP8Axo/4T/wx/wBDDpf/AIGR/wCNH+qvD/8Az4j97/zD+1MZ/wA/Wcv/AMKP03/oIXn5p/8AE0f8KP03/oIXn5p/8TXUf8J/4Y/6GHS//AyP/Gj/AIT/AMMf9DDpf/gZH/jR/qrw/wD8+I/e/wDMP7Uxn/P1nL/8KP03/oIXn5p/8TR/wo/Tf+ghefmn/wATXUf8J/4Y/wChh0v/AMDI/wDGj/hP/DH/AEMOl/8AgZH/AI0f6q8P/wDPiP3v/MP7Uxn/AD9Zy/8Awo/Tf+ghefmn/wATR/wo/Tf+ghefmn/xNdR/wn/hj/oYdL/8DI/8aP8AhP8Awx/0MOl/+Bkf+NH+qvD/APz4j97/AMw/tTGf8/Wcv/wo/Tf+ghefmn/xNH/Cj9N/6CF5+af/ABNdR/wsDw1/0MGl/wDgZH/jR/wsDwz/ANDDpn/gZH/jS/1V4f8A+fMfvf8AmH9qYz/n6zl/+FH6b/0ELz80/wDiaP8AhR+m/wDQQvPzT/4muo/4T/wx/wBDDpf/AIGR/wCNH/Cf+GP+hh0v/wADI/8AGn/qrw//AM+I/e/8w/tTGf8AP1nL/wDCj9N/6CF5+af/ABNH/Cj9N/6CF5+af/E11H/Cf+GP+hh0v/wMj/xo/wCE/wDDH/Qw6X/4GR/40f6q8P8A/PiP3v8AzD+1MZ/z9Zy//Cj9N/6CF5+af/E0f8KP03/oIXn5p/8AE11H/Cf+GP8AoYdL/wDAyP8Axo/4T/wx/wBDDpf/AIGR/wCNH+qvD/8Az4j97/zD+1MZ/wA/Wcv/AMKP03/oIXn5p/8AE0f8KP03/oIXn5p/8TXUf8J/4Y/6GHS//AyP/Gj/AIT/AMMf9DDpf/gZH/jR/qrw/wD8+I/e/wDMP7Uxn/P1nL/8KP03/n/vPzT/AOJpD8D9NC/8f95+af8AxNdT/wAJ/wCGf+hh0v8A8DI/8aP+E+8M/wDQw6X/AOBkf/xVS+FeH7aUY/f/AMEf9qYz/n4zyXQfAtrq3jDUtIkuJ0htVYpIpG44YDnI967H/hSOm/8AP/efmn/xNc74P8YaFD8TNdmk1rT0iZHAka6QKfnXvmvS/wDhYHhn/oYdL/8AAyP/ABr5fhzhzKMRhZyxVJOSnNat7JtLr2O/HZjiIVV7OppZffZXOX/4Ufpv/QQvPzT/AOJo/wCFH6b/ANBC8/NP/ia6j/hP/DH/AEMWl/8AgZH/AI0f8J/4Y/6GHS//AAMj/wAa+p/1V4f/AOfEfvf+Z5/9qYz/AJ+s5f8A4Ufpv/QQvPzT/wCJo/4Ufpv/AEELz80/+JrqP+E/8Mf9DDpf/gZH/jR/wn/hj/oYdL/8DI/8af8Aqrw//wA+I/e/8w/tTGf8/Wcv/wAKP03/AKCF5+af/E0f8KP03/oIXn5p/wDE11H/AAn/AIY/6GHS/wDwMj/xo/4T/wAMf9DDpf8A4GR/40f6q8P/APPiP3v/ADD+1MZ/z9Zy/wDwo/Tf+ghefmn/AMTR/wAKP03/AKCF5+af/E11H/Cf+GP+hh0v/wADI/8AGj/hP/DH/Qw6X/4GR/40f6q8P/8APiP3v/MP7Uxn/P1nL/8ACj9N/wCghefmn/xNH/Cj9N/6CF5+af8AxNdR/wAJ/wCGP+hh0v8A8DI/8aP+E/8ADH/Qw6X/AOBkf+NH+qvD/wDz4j97/wAw/tTGf8/Wcv8A8KP03/oIXn5p/wDE0f8ACj9N/wCghefmn/xNdR/wn/hj/oYdL/8AAyP/ABo/4T/wx/0MOl/+Bkf+NH+qvD//AD4j97/zD+1MZ/z9Zy//AAo/Tf8AoIXn5p/8TR/wo/Tf+ghefmn/AMTXUf8ACf8Ahj/oYdL/APAyP/Gj/hP/AAx/0MOl/wDgZH/jR/qrw/8A8+I/e/8AMP7Uxn/P1nL/APCj9N/6CF5+af8AxNH/AAo/Tf8AoIXn5p/8TXUf8J/4Y/6GHS//AAMj/wAaP+E/8Mf9DDpf/gZH/jR/qrw//wA+I/e/8w/tTGf8/Wcv/wAKP03/AKCF5+af/E0f8KP03/oIXn5p/wDE11H/AAn/AIY/6GHS/wDwMj/xo/4T/wAMf9DDpf8A4GR/40f6q8P/APPiP3v/ADD+1MZ/z9Zy/wDwo/Tf+ghefmn/AMTR/wAKP03/AKCF5+af/E11H/Cf+GP+hh0v/wADI/8AGj/hP/DH/Qw6X/4GR/40f6q8P/8APiP3v/MP7Uxn/P1nL/8ACj9N/wCghefmn/xNH/Cj9N/6CF5+af8AxNdR/wAJ/wCGP+hh0v8A8DI/8aP+E/8ADH/Qw6X/AOBkf+NH+qvD/wDz4j97/wAw/tTGf8/Wcv8A8KP03/oIXn5p/wDE0f8ACj9N/wCghefmn/xNdR/wn/hj/oYdL/8AAyP/ABo/4T/wx/0MOl/+Bkf+NH+qvD//AD4j97/zD+1MZ/z9Zy//AAo/Tf8AoIXn5p/8TR/wo/Tf+ghefmn/AMTXUf8ACwPDP/Qw6Z/4GR/40f8ACwPDP/Qw6Z/4GR/40f6q8P8A/PiP3v8AzD+1MZ/z9Zy//Cj9N/6CF5+af/E0f8KP03/oIXn5p/8AE11H/CfeGf8AoYdL/wDAyP8A+Kpf+E/8Mf8AQw6X/wCBkf8AjS/1V4f/AOfMfvf+Yf2pjP8An6zlv+FH6b/0ELz80/8AiaP+FH6b/wBBC8/NP/ia6j/hP/DH/Qw6X/4GR/40f8J/4Y/6GHS//AyP/Gn/AKq8P/8APiP3v/MP7Uxn/P1nL/8ACj9N/wCghefmn/xNH/Cj9N/6CF5+af8AxNdR/wAJ/wCGP+hh0v8A8DI/8aP+E/8ADH/Qw6X/AOBkf+NH+qvD/wDz4j97/wAw/tTGf8/Wcv8A8KP03/oIXn5p/wDE0f8ACj9N/wCghefmn/xNdR/wn/hj/oYdL/8AAyP/ABo/4T/wx/0MOl/+Bkf+NH+qvD//AD4j97/zD+1MZ/z9Zy//AAo/Tf8AoIXn5p/8TR/wo/Tf+ghefmn/AMTXUf8ACf8Ahj/oYdL/APAyP/Gj/hP/AAx/0MOl/wDgZH/jR/qrw/8A8+I/e/8AMP7Uxn/P1nL/APCj9N/6CF5+af8AxNH/AAo/Tf8AoIXn5p/8TXUf8J/4Y/6GHS//AAMj/wAaP+E/8Mf9DDpf/gZH/jR/qrw//wA+I/e/8w/tTGf8/Wcv/wAKP03/AKCF5+af/E0f8KP03/oIXn5p/wDE11H/AAn/AIY/6GHS/wDwMj/xo/4T/wAMf9DDpf8A4GR/40f6q8P/APPiP3v/ADD+1MZ/z9Zy/wDwo/Tf+ghefmn/AMTR/wAKP03/AKCF5+af/E11H/Cf+GP+hh0v/wADI/8AGj/hP/DH/Qw6X/4GR/40f6q8P/8APiP3v/MP7Uxn/P1nL/8ACj9N/wCghefmn/xNH/Cj9N/6CF5+af8AxNdR/wAJ/wCGP+hh0v8A8DI/8aX/AIT/AMMf9DDpf/gZH/jS/wBVeH/+fMfvf+Yf2pjP+frOW/4Ufpv/AEELz80/+Jo/4Ufpv/QQvPzT/wCJrqf+E+8M/wDQw6X/AOBkf+NJ/wAJ/wCGP+hh0v8A8DI/8aP9VeH/APnxH73/AJh/amM/5+s5f/hR+m/9BC8/NP8A4mj/AIUfpv8A0ELz80/+JrqP+E/8Mf8AQw6X/wCBkf8AjR/wn/hj/oYdL/8AAyP/ABp/6q8P/wDPmP3v/MP7Uxn/AD9Z554x+Flj4e8P3WoQ3lzJJCFIWQrg5YDsPep/Dnwl0/WdFs72W9u0eaIOVUrjn/gNa/xC8XaHqnhO+t7TWbC6uJAu2KG5R2b5geADk8Va8G+M9AsPDOnwXGt6fbzRxKrxyXSKyn0IJ4r5OHD2TPPpYd0o8ipp2u7Xva+/Y9J5hi/qan7R35rfKxS/4Ufpv/QQvPzT/wCJo/4Ufpv/AEELz80/+Jrqf+E+8M/9DDpf/gZH/wDFUn/Cf+GP+hh0v/wMj/xr6z/VXh//AJ8R+9/5nm/2pjP+frOX/wCFH6b/ANBC8/NP/iaP+FH6b/0ELz80/wDia6j/AIWB4Z/6GHTP/AyP/Gj/AIWB4Z/6GHTP/AyP/Gj/AFV4f/58x+9/5h/amM/5+s5f/hR+m/8AP/efmn/xNH/Cj9M/5/7z80/+JrrrHxhoWo3KW1prWn3Vw/3IobpHdu/AByeK2veqjwlkMvhw8X83/mP+1MZ/z9Z414Z0YeF/immnwTSPEsRyZDy2Uzzj3r2THevLWyfjV/2z/wDadepVz8I0YYeliaNNWjGpJJdloPMJyqSpzk7txVx9FFFffHkhRRRQAUUUUAFFFFABRRRQAUUUUAeb/G7/AJF6y/6+1/8AQHr0Cx/494v9wV5/8bv+Resv+vtf/QHr0Cx/494v9wV8VgP+R7i/8MD0qv8AulP1f6FiiiivtTzQopu6l3UALRSbqTdQA6im7vejdQA6im7qN1ADqKbuo3UCuh1FN3UbqBjqKbuo3e1ADqKbuo3UCuOopu6jdQMdRTd1LuoAWik3UbhQAtFFFADWr4mHwl0P4xftdfELSNfa6Fpb2wukFrKI2LgW6jJIPGHNfbPrXyv8Kf8Ak+D4kf8AYLb/ANCs68jGRjOpSjJXTYjoP+GE/hr66x/4GL/8RR/wwr8NfXWf/Awf/EV9FUV0/UsP/Ihnzr/wwr8Nv72tf+Bi/wDxFH/DCvw0/va1/wCBg/8AiK+iqaWC9TT+pYf+RC0Pnf8A4YV+Gn97Wv8AwMH/AMRR/wAMK/DT+9rX/gYP/iK+ifxo3D1o+pYf+RBofO3/AAwr8NP72tf+Bg/+Io/4YV+Gn97Wv/Awf/EV9Eg5paPqWH/kQaHzr/wwr8NP72tf+Bg/+Io/4YV+Gn97Wv8AwMH/AMRX0VRR9Sw/8iA+dP8AhhX4bZ+9rWP+vxf/AIiuT+I/7HfgDwvosNzZHVfNadYz5l2CMEMf7vtX1rXnnxq/5Fm2/wCvlf8A0Fq+Z4jw9OhlVerTjaUVdNbndgYRniYRktGzzHTf2Hfhvd6fbTOdY3yRqzf6YvUgH+5Vn/hhX4a+us/+Bi//ABFe86D/AMgey/64p/6CKvivawmEoSoQk4q9l+Ry1EuZnzv/AMMK/DX11n/wMX/4ij/hhX4af3ta/wDAwf8AxFfRVJuFdn1LD/yIz0Pnb/hhX4bf3ta/8DF/+Io/4YV+Gn97Wv8AwMH/AMRX0TketGR60vqWH/kQaHzt/wAMK/DT+9rX/gYP/iKP+GFfhr661/4GL/8AEV9E5FG4U/qWH/kQaHzt/wAMK/DT+9rX/gYP/iKP+GFfht/e1r/wMX/4ivojPvS7qX1LD/yIND52/wCGFfhp/e1r/wADB/8AEUf8MK/DT+9rX/gYP/iK+ic/SjtT+pYf+RBofO3/AAwr8NP72tf+Bg/+Io/4YV+Gn97Wv/Awf/EV9E5FH40fUsP/ACIND52/4YV+G397Wv8AwMX/AOIo/wCGFfhp/e1r/wADB/8AEV9Ee9LuHrS+pYf+RBofO3/DCvw19da/8DF/+Io/4YV+GvrrX/gYv/xFfRO4etH40fUsP/Ig0Pnb/hhX4af3ta/8DB/8RR/wwr8Nv72tf+Bi/wDxFfROaM0fUsP/ACIND52/4YV+GvrrX/gYv/xFH/DCvw2/va1/4GL/APEV9E5HrRkU/qWH/kQaHzt/wwr8NP72tf8AgYP/AIij/hhX4bf3ta/8DF/+Ir6JyPWjI9aPqWH/AJEGh87f8MK/DT+9rX/gYP8A4ij/AIYV+GvrrX/gYv8A8RX0Tmlo+pYf+RBofOv/AAwr8NfXWv8AwMX/AOIo/wCGFfhr661/4GL/APEV9FUUfUsP/IgsfAvxr/Z38K+Afir8OPDumG+/s/Xr2OC88+cO+0zxRnYdowcOfXtXuH/DCvw2/vax/wCBi/8AxFc9+1Hz+0F8FP8AsJw/+lcFfVK152HwlGVWonFWTVvuCyPnf/hhX4af3ta/8DB/8RR/wwr8NP72tf8AgYP/AIivoqivR+pYf+RBY+df+GFfhp/e1r/wMH/xFH/DCvw2/va1/wCBi/8AxFfRO7HWjcPWj6lh/wCRBofO3/DCvw0/va1/4GD/AOIo/wCGFfhr661/4GL/APEV9E5FLR9Sw/8AIg0PnX/hhX4af3ta/wDAwf8AxFH/AAwr8NP72tf+Bg/+Ir6Koo+pYf8AkQWPnX/hhX4bf3ta/wDAxf8A4ik/4YW+GvrrP/gYv/xFfRdI33TUvB4e3wIdkfH/AId/ZF8Cat421XS5m1QWtsrGPZdANwwAydvPBNdt/wAMK/DX11j/AMDB/wDEV2/gv/kqWvf7r/8AoS16kOa+Q4Yo08Rg5yqq7U5rXsm0kelmFOMKsVFWXLH8j53/AOGFfht/e1r/AMDF/wDiKP8AhhX4af3ta/8AAwf/ABFfRVFfYfUsP/IjzLHzr/wwr8NP72tf+Bg/+Io/4YV+Gn97Wv8AwMH/AMRX0TkUbh60/qWH/kQaHzt/wwr8NP72tf8AgYP/AIij/hhX4af3ta/8DB/8RX0TketGaPqWH/kQaHzt/wAMK/DT+9rX/gYP/iKP+GFfhp/e1r/wMH/xFfROR60ZHrS+pYf+RBofO3/DCvw0/va1/wCBg/8AiKP+GFfhp/e1r/wMH/xFfROR60bh60fUsP8AyIND52/4YV+G397Wv/Axf/iKP+GFfhp/e1r/AMDB/wDEV9E5o/Gj6lh/5EGh87f8MK/Db+9rX/gYv/xFH/DCvw0/va1/4GD/AOIr6JyPWjNP6lh/5EGh87f8MK/DT+9rX/gYP/iKP+GFfhr661/4GL/8RX0TuHrRuHrR9Sw/8iDQ+dv+GFfhp/e1r/wMH/xFH/DCvw2/va1/4GL/APEV9E5ozR9Sw/8AIg0Pnb/hhX4af3ta/wDAwf8AxFH/AAwr8NP72tf+Bg/+Ir6J/GjIpfUsP/Ig0Pnb/hhX4af3ta/8DB/8RR/wwr8NP72tf+Bg/wDiK+icj1o3D1p/UsP/ACIND52/4YV+Gn97Wv8AwMH/AMRR/wAMK/DT+9rX/gYP/iK+idw9aWl9Sw/8iDQ+df8AhhX4af3ta/8AAwf/ABFL/wAMJ/DX+9rP/gYv/wARX0TRR9Sw/wDIgsfKXxF/Yz+H3hX4feJtZsjq32zT9MubuHzLsMu+OJnXI2cjIFc3+z7+yj4J+JXwp0jxBrLal/aF0ZfM+z3IRPlkZRgbT2Ar6c+NP/JH/HH/AGA77/0Q9cR+x3/yQHw7/vXH/o5q8+WEofWlHlVrfqFlcwf+GFfhp66z/wCBg/8AiKP+GFfht/e1r/wMX/4ivoqivR+pYf8AkQWPnX/hhX4a+utf+Bi//EUf8MK/Db+9rX/gYv8A8RX0VSZFH1LD/wAiDQ+dv+GFfhp/e1r/AMDB/wDEUf8ADCvw0/va1/4GD/4ivoncPWlo+pYf+RBofOv/AAwr8NfXWv8AwMX/AOIo/wCGFfhp/e1r/wADB/8AEV9FUUfUsP8AyILHzr/wwr8Nv72tf+Bi/wDxFH/DCvw0/va1/wCBg/8AiK+iqKPqWH/kQWPnX/hhX4af3ta/8DB/8RR/wwr8NP72tf8AgYP/AIivoqij6lh/5EFj51/4YV+Gn97Wv/Awf/EUf8MK/Db+9rX/AIGL/wDEV9FUUfUsP/IgsfOv/DCvw09dY/8AAxf/AIivDPjN+zz4U8B/GD4eeGtM+3f2drtzFFd+dOGfa06odp2jBwTX35Xyj+01/wAnJfBr/r+t/wD0qSvOx2EoxpXjFLVfmDtY6X/hhT4bf3tY/wDAxf8A4ik/4YU+GvrrP/gYv/xFfRXalrvWDw+/IgPnX/hhX4bf3ta/8DF/+Io/4YV+Gn97Wv8AwMH/AMRX0VRVfUsP/IgPmrUv2T/A3w3tX8QaR/aR1CzwYvtFyGT5jtORtGeCadYfse+AvGdrHreoHVBe3w86byrsKu49cDacCvZPil/yJOo/Rf8A0NaueAv+RS0v/ritfFQwlH/WSUeVW9kv/Sj1X/uC/wAX6HjH/DCvw2/vax/4GL/8RR/wwr8NP72tf+Bg/wDiK+iqK+1+pYf+RHlWR86/8MK/DT+9rX/gYP8A4il/4YU+Gv8Af1j/AMDF/wDiK+iaKX1LD/yID4h8UfBnw/8ABn9o74WWfh43flXt0ssv2qUSHIkC8EAYGDX24e1fL/7QX/Jz/wAHf+uv/tUV9QHpXPg4RpyqRirK5R5Z/wA1sH/XL/2nXqVeW/8ANbB/1y/9p16lXz3DH/MX/wBfZfoenjv+XX+FD6KKK+3PLCiiigAooooAKKKKACiiigAooooA83+N3/IvWX/X2v8A6A9egWP/AB7xf7grz/43f8i9Zf8AX2v/AKA9egWP/HvF/uCvisB/yPcX/hgelV/3Sn6v9CxRRRX2p5p5x8XLqe1XS/Jmki3GTPlsVzgL6V5x/a19/wA/lx/39b/GvQfjL93SfrL/ACWvNK9nCxTpo8DFSaqOzLX9rX3/AD+XH/f1v8a8i/aT+IHj3wv4b8Nr4H1Pyde1HXIbNFuSXSZfJmkMRyRjeY1XdkYz1r1OuK+JHgq88ZXng2W0lhiXRteh1ScTEjfGkUyFVwD82ZF64HB5racU46I56c2pJtnP+G/j1c+MvFHhC8stTurTRL/QdSvb+zuWKy2tzby2qPHKM/K8ZeVWGcfXitjQf2gxr9xooTS/ElrY675g0jUbjyhBflEaQBAsxdN8aM6+aqZA7HiuYX4DzW/xm1fxHbX0UHhjVtJvYbjT0yJIr25NusssYxtAdYAzdy5J53HGb8IfgXe/DvVtGhuPC3gM22jw+TF4isdPMeqXGIvLDn5AI3bLbmDtkEjAzWSUlpY3cotbl34aftOa3q3w/m8Q+KdH1uwgTW5NL+2RtB5IDXz2yFgs5IEeEEjEYzkruFdbfftHaLp+seOtOnvtRSbwfZR3+oMWASSN1ZgIvnyzDZg5wAWUZ5rjNF+BusP8OvHnw91ybS5/DWqveyaZeQiRrlXuZpZi0yEBQY3dCu0nO3JxXOf8M4+L9St/Cupaprmmt4mkuLiPxVcwxnZe2ctzDP5UJ2DG020SgMPuvJznqWklZIPcb1dj1O8/aEliur+2sdC8T6xc6ZZw3mqQ2D2zNp/mR+YsUm64UNJs+bbFv4x1yM1rz9puybXdN0nQ7HxJ4sutR0aPXrZtGWNo3tXdlVt0ssYByvQ4zkAZORWL4g+HnjjSfGXijUPCF1oUmm+K3hbUE1gTCSyZIEty8IjGJAURTtYr8wPODxZ+HnwVl+HfjjSL60u0n0bTfCFt4bjWQnzy8U7SbyMYwQ3r1qrSvawuaNr3Dwf8crm18Va94evdR1TWtbn8RXNvZadZyB5YLRPLBlfLKEhQk5YnknC7m4q98fPHninwzY+HZLLWdT0Xw/PftHrmt6fGbiext/JkKMEKthTL5YZ9p2jk4rAsvgZqOg+PLvxvpF3a23iOfV5ml3FvKu9LmaMvBLxnepQuhHAbjoTXf+PF8ZrawSeDv7EmuVDLNa635qxy5K4IkjyVwA/G1s7h0xQo+7ZoUpLnTiyj4Y+LFrpsPg/Sm8W33io+IftA07XFkjaO4MSlyjtHhQwQP0Xny2zg9YND/aU0jxFoI1Wxl1qVDrw8O/ZvKIm+0llAbG7Hl7GWXfn7hz14rzmP9m3WNL+Gt7baXqdla+MpfFf/AAl9u1uHt7C3uGZQ9soXLmExCRCO+88Y4q/4W/ZyuPCvxM0PVLe9gbwxY2NrNNZtLL5p1SC3ktROgztCtC67s8kxrx3pWl2Lbjr7xFrX7Reu+H7fw82gL4l8Sw6j45vNCu5LxrYSKI3uA9vD++QY3RDy2b+BDvIYgH07VPjReWevXGkWOieJNdu7O3iuL7+zmgK2nmZ2o5knTc+ATtj3HH1GfMLz4E+JrXwjAmm3mlvr2neOLvxdZR3TSC2lWWW4KxSMq7lOy4OSoPK45HNdHN4H8b+GviBqmu+Fn8PvbeJGtpNZXU2nDwSxRCLzIAmQwKKo2Hbymc8nAotboTlFvRmbb/tEap4Q8UfFM6xbeJtZ0bQ9Wid7yxRHg02zNjaMxbdIrMAzSyFYw7AZJHIz7Rqus65NpEzaPfL9vdP9He8kkMIJ6MwU5IA5wCM4xkZyPLdV+FOrX3hX4yaat1a+f4zNwbFizBYjJpkNqPM44/eRMeM/KR34r0LUI9TtPDcsWkLayarHb7bdbxmWBpAMDeVBIXPoM1UI6WaIqSvZxOa+C/izxXqOk6/b+I/EEus6jpusz2JvI08hXVFQ8ICdoyxwMkgdSeteh/2tff8AP5cf9/W/xrxv4M+G/iN4a1rX/wDhLIPDSaZqd3NqQbR7m4kmW4cxjZiRFGzarc5znFetVcIq2qIqSd20y1/a19/z+XH/AH9b/Gut+GOoXVx4mCS3MsieS3yu5I6iuIrr/hX/AMjUv/XF/wClRWivZvQuhJ+1jqe00UUi14R9GDdK+VvhV/yfF8R/+wU3/oVnX1VXyt8K/wDk+L4j/wDYKb/0Kzry8X/Epev6CPqmikHelr1BhXmP7QkrQ/D4lGZGN1GMqcetenV5d+0Yf+Ler/1+RfyagD5r/ti/HS9uP+/rf405Nd1KPOzULpc9dszD+tUqKAPr/wCEk0lx8OdElmkaWVoW3O5JJ+dupNdjXGfB3/kmehf9cW/9DauzoAKKKKAEPavPPjZ/yK9t/wBfS/8AoLV6Ge1eefGz/kV7b/r6X/0Fq+V4o/5E2I/wnoZf/vVP1Oz0H/kC2X/XBP8A0EVoVn6D/wAgWy/64J/6CK0K93B/7tS9F+RxT+Jh7VwXxWv7qwsbE21xNblpGDGJyuePau99687+MX/IP07/AK6t/KvTofxFc48Rf2Tseef8JFqv/QTvP/Ah/wDGj/hINU/6Cd5/4EP/AI1n0V7nLHsfPc8u55L+1Z8YPiJ4B8J+FG8E609vrms+JrLR0N27PGyzLL8pznGWVeQMitbw78fNY8aa/wCAJNM1a8i0vXLG/mu7aSVvMjng8pTGTngo7SKR6iq/xw+Gup/EpfAY0ya1h/sHxbp+vXX2p2XdBAXLqmFOXO4YBwPUisfSfgffeGvj4/jDSr22TwteRXV1daU4KyQ6hMsSSSxELysixIWDEYZcj7xxzyj710jqjU9xJvXU6nS/2nI9WutNMSeJk0rVnki0rWZCv2TUZFUsEiIl3guFcqZERW2nB5Geb8AftY65rnhXxNrniLRfE2jWmj63JpvmYBBjN4bdchZ3JeL5TNjgfMV3AVz3wm/Z7/4VzcaBay+C/B1w+kSFV8TxlhfyoqsEfyvJAWUggM3mEfeOOcV0Oh/CfWF8JfEjwlrBsZdH8QXupXdjeW08gm/0ySSQpKm0bNhfAZXbdjPy9KVvIblFXSf4nb3H7Q1ha+IfFmjza5qUc/hewXUdSmZ3EUcZjMhAbPzMqbGI7CROeTjHuP2ogZlt9Ms/F2v3kNnb32o2uloJH0yKdN8Xn7pVBYrltkZdsDpyM+Mzfsz+NtR8PaZ9r1awTXtYvbmPxdcQ31xtm0+ae3zHbEp94W1rHCFYAAFue59N1Dwb448K+OfFmteDxoeo2niSOCVoNYmktzY3UUKwBl8uN/NRkRSVJUgrweTRa+6Fp0lf5mjN+1tps3iDQ9G0aTxL4mvNa0iPW7L+yEMivatL5ZZi0i7CpBLBsYAxy2FJZ/HzUNF8beJtCvNV1rWdVl1uK10zR7GQyTrAbKzeSQgsqpEjSuzO7Ac4GSVU8f8ACn9na8+FfxI8Mana3tvdaHo/glvDjMzMLiS6a8W4aQJggRn5v4sjIGO9X774Pa/pPxK1rx74aurO112+1OHzraaRlg1HTRbW8TwzEIdsiPFJJG4BIzgnDsAcr7D5o7X6HTfHn4ueK/A9n4clttd1LRtCutQ8rWdfhDXDabbiJ2D7CGADOFUuRhQcmtHQfjBdaLb+E7O78X6h4qi8RXE0Nh4gt5IlhchGljjfY4+Yxo4BRSCY2zt4zf8AGUniiG3tG8NWWk6i/m4urfVbiS3Vo9p+46I+GzjqpBGa8nj+BvifT/hvqkWl3um2XjG48Rf8JNZwBn/s6ymLrugQ7NwjZA+4hAS0jnAzRKNndImMlKK5meh2v7Ten6hoes6nZ3+tXaaXr/8AwjktvDJmaS6+0LACi+ZgoWYMCSDtBOK8/wDEn7VHibwjBpz6WnijxYL7xrd6BcF1iVoFieVGhgCzJlsx5jL9VDbsHAqn4U/Zp1Hwn4y8GQwahYy+CdFtrO7ubMx7ZrjVba3lt1mAC42sJRKxZid8a4HJNWL/AOCHiiHw+hsJ9Ll1Wy+IFx4vt4LiWRYZ7eSeZhCzhCUfy5jyFYBlxyDmk4t7o0UorZnpWrftFS6brp0a0tvFOuarb28F1qNppaiV9MjmzsM+ZAM4Vjsj3vhchSCM8Bo/7UOteFvEXxOTX5vFWs6ZouveX9psIjLDpln9lgbMjblyoYyMQu9x1xitA/D3xj4V+Jnibxd4YTRbyTxZa2K6jb6pcyxiyuLZDGGiKRnzUKMflbYcqDn5sAX4R61/wjfxh09p7Pz/ABhdXFxYN5j7YxJZRQKJDtyDvRs4B4I+gfL5EqSW7PZdR8UeIH0m4l0vUZZb1oS1qt1dSJEzkfJvK5IXOMkAnHavK/2bfi1488aaf49h8VeIX1HUNB8WXuixzWgaCMxQpCRhdxP3nbqScEcmvQLhb2z0N1sYobnUIoMQxTymOJ5AvCs4VioJHUKcehryj4A+AfG/w91TxqPENnoa2HiHX7zxAJdO1CaaSF5hEBDsaBAQPLPzbu/SqcVzLQzjJ8slc93/AOEg1T/oJ3n/AIEP/jR/wkGqf9BO8/8AAh/8az6K35Y9jD2ku52vw71i/vPFNvFPfXE8ZR8pJMzD7p7E17FXifwy/wCRutv9x/8A0E17WOteRiklPQ9vBtunqOooorkO8+U/2pP+Tgvgj/2FIv8A0qgr6qWvlX9qT/k4L4Jf9hSL/wBKoK+qlry8L/Hq+q/IQ6iiivUGeefHS6ms/h7dS28zwS+dGN8bFWHPqK+Z/wDhLNb/AOgzqH/gU/8AjX0j+0E2PhzcD1njH618s0AbEfjLX4c7Nc1JM9dt3IP619QfBm+udS+G+kXN3cS3Vw/nbppnLu2JnAyTyeAB+FfI9fWfwK/5JXon/bf/ANHyUAd7RRRQAUjfdNLSN901MtmB5X4L/wCSpa9/uv8A+hrXqa15Z4L/AOSpa9/uv/6Gteqf418Vwj/uNT/r5P8A9KPWzP8AjR/wx/JC0yn0lfbnkng/iDXtTh1zUEj1G7SNbhwqrOwAG48DmqH/AAkOq/8AQTvP/Ah/8aXxJ/yMGpf9fMn/AKEazq9+EI8q0PmJylzPU0P+Ei1b/oJ3n/gQ/wDjXhmk/HrxxY/G7XNM1rW5X8GT6odC09l3I9peraW1wgeTd8wmE8oGRw0SjPzAV7HXlGpfBX/hJtK+IenarcLbrr2tJq2m3tmT59jIlrbRxTAkDbIksBYbT0xzyQJqU1pZF0578zNLQv2hNUs/D6y6tf6pqus3uvalpem6Zprj7RdCC4mAChnVcLFFlnZlAxyckA4PxC/a31rw7omiXeiaR4kv72fxBbaLqWmzACeyZ2jLRMDMo810lXyyrMhJ5bHNcdcfs163rnhXwVd+JLfQPEfifQtV1LULzTLpnGmXq3ru0oDGNmRlJRlJRsFSO+a6LVPgvqMnw/gs9A8NeF/CurWPiOx12203T53FpN9nlibE0ohVtzKrjIj4+UeprLldrWNuaF736ncXn7TMej2fiqfWP+Eh0WXw7o0Ou3NrfSxrLLbyJIwEQWYguGieIgkDfgAkHNFx+1FpNrZ6DeTaxqiWOraHP4hNz54KWVpEsRZp8SZUlplRQobLKwzxXJ/ED4R+IPiD4k8FatcSaXYLGsUXia1jBlFzDFPFdRRROyZYCeLHzbflkc9eK5eH9lm91rw98SNI1/UbER6xaHRtBns4Bv0/T1nluURvlXkyy/Mo4Kwx85HBZ3skSuS15SPWfD37STa14ksNDvrfxT4avdTjlm0s60nlLqKRjc/lbJGIITDbJAjYOccHHmXxk/ao8Qat+z34h8VeDbnxToRiTTZrTWrxRHG/m3sMckceXJZlDOrfLt5+Vm6101l4K8beLvGXhLWfF66LpcHhpJ5orbR7iW5N5dSwPAXZpI0MaKjsQo3EluT8vOP45+Bmt+Kv2U4fhpBNp41pbPT7Z5ZpHFsxgnhkk+YIWwVjYD5epGcUuVtbFKUYyWv4nr/hD4wT+OLjVRpl1rDWNhKIF1KSQrbXb87/ACDv3MEIwWKhcn5S3OPN9M+LnibVvinq+h6h8S7rw5qtvf4sPDc8CrHd2YCfOrv80rPlvmRhtPG07Tnofhf4N1r4eR3/AIfkuba98J2pU6JIWYXcEZyWt5BjayIcBHBztOCOMnmPiF4D8afEm+s9L1Kw8MxaNZa1b6jb6ws8z3kcUMgkQLCYwFkOChYSY2s3BzitHG8VoZxkuZq+h1Or/tQaboPh+71W+v8AXYEttfbw49qyv5xuVcguq7sGLywZ9+f9WCcZ+Ws74g/tHx6L4mstAj8Q+ILW7g1/R9NuZbAJKjS3jMY7dzI+QpRQzsoyqum3JOByHi79na98WfFTXdUmuYF8J6jp9xN9lFzMJv7VktBZCUrjbsFuZAMEEFicd6yrX9nnxZdeCfDCanf6dceKo/Hdn4s1mb7RI8DRQOEWKBjHuytvHCoVgBlT82Oazae1jRcmj5juvA/7Umu63r/j2113TPEGjaR4av7mI6zKyraxwQwRyHzSJ2bzDuZhtXG0p0ORTfGH7RWu6h8MfE2q6db+L/Db2tj9ts7/AFKExrcRblw8eHYgkEHZIFfB+7wcZGpfB3xDqjfFDw9I2mL4V8ZyzXS3/nyfbLaSSzjh2mEIFIDxKwPmcjIxzxcuvC/xM8ZeAdT8P+JYvDFpLLpqW6zadcTyC4uA4LSNujXyk2r90BzluoA5fLpsLmjdO/bqdv4L+Plx4s8RT6BKviTQ9VjtvtkMWsfuvtlvu2GaILIx27iuQwVhuXKjNZfx1+IvxC8J6Pp2qeH/ABEthp8N/ZxXwn8yaecTXcMIjTLbUG2RyWOTkKAByaLjwBqMnxs0nxeJrb+zLTw/caVJGXbzjK88UikDbjbhGyc5zjiqfx28L+K/Gnhm30fwxaaTOHu7a6uJtUvZINnkXMUyqoSGTdu8sgkkYyOtXy+7sRze+mnoet/8JFquP+Qnef8AgQ/+NH/CQap/0E7z/wACH/xrB0WXUJtKtn1W3t7XUSv7+G1maaJW9FdlUsPcqKvVqoxtsYOUu5of8JFq3/QTvP8AwIf/ABr2D4eXE154TtJZ5XmlZny8jFmPznua8Pr234af8idZfWT/ANDauPFRSgrI7sG26ju+h1dFFFeWe2cV8av+SP8Ajj/sB33/AKIeuI/Y7/5ID4d/3rj/ANHNXb/Gn/kj3jj/ALAd9/6IeuI/Y7/5ID4d/wB64/8ARzV5kv8AfF6fqLqe2UUUV6Ywr5h+OWuajp/xFvI7S/urWMQxfLDMyDlB2Br6er5T+PjbviZf+0UI/wDHBQByH/CWa3/0GdQ/8Cn/AMa7f4PeKta1D4jaNbXWsX9zbOZA0M1y7ocRORkE46gV5nXcfBLn4oaH/vS/+iXoA+uKKKKACiiigAooooAKKKKAEPSvlH9pr/k5L4N/9ftv/wClSV9XHpXyj+01/wAnJfBv/r9t/wD0qSvMzD+D81+YmfV1LSUtekthhRRRTA5D4qf8iTqH0X/0MVd8Bf8AIo6V/wBcVql8VP8AkSdQ+i/+hirvgL/kUdK/64rXxEP+Skn/ANel/wClM9SX+4L/ABfodFRRRX255YUUUUAfLv7QX/J0Pwd/67f+1RX1Afu18v8A7QX/ACdD8Hf+u3/tUV9QH7teVhf4lX1/RDPLP+a2D/rl/wC069Sry3/mtg/65f8AtOvUq+d4Y/5i/wDr7L9D08d/y6/wofRRRX255YUUUUAFFFFABRRRQAUUUUAFFFFAHmvxw/5F+y/6+1/9AevQLM/6ND/uj+VcB8cB/wAU7Zf9fS/+gPVWGb4giNBHFbBccfd6V+XyzNZdnuJvSlPmjH4Ve3qe4sP7bCU/eSs3u7dj1EGlzXmHnfET/nnb/wDjlL53xE/552//AI5Xsf60R/6Bav8A4Azn+oP/AJ+R+8d8ZBhdJ+sv8lrzSuj8ZSeJH+x/28kIX5/J8vGf4c5x+FcZr19eabpsk+n6bJq10pUJaRzJEz5PPzOQowMnk9q/QMnxyxuFVVQlHV6SVn9x8lmFH2Ndx5k9ttUaFFct/wAJNr/2rTY/+EQuhFcKhuJvttvi0Jcghhvy+FAb5c9cDnimL4o8RNaXsp8GXazQuqwQfbrYm4BJywbfhdoAOG5OeOhr2uY87kZ1lFctJ4m8QLd2US+D7poZkRppvttvi3Y/eUjfltvcrwe1QL4t8S/YZZT4HvBcLIqpb/2ha5dSDlt2/AAwODzz7GjmDlZ2FFctJ4l19dQSBfCN09uY95uvttuFDbNxTbvzkN8ucYzz0qMeKvEZ0g3X/CF3f2wXAi+w/b7bcY9pPmb9+3GRtxnPOcYo5kHKzraK5NfFHiFrzyv+ENuxB5Hmef8AbrYjzPK3eXjfnO/93npnnO3mmt4q8R/2StyPBV412ZjGbL7fbbwgUESbt+3BJIxnPHpRzByO511FcpH4m8QteSRN4Ou1hWIus3262IdtuQmN+QSflyeO/So38VeJFsbaYeCbx55JGWS2/tC2BiUYwxbfg5yeByMc9qOYXIzr6K5ZfEuv/ar+M+EbpYoEdoJvttuRckHCqBvyu4c/NjGOabL4o8QLZ2Eq+Dbx5p2YTwfb7YG2AYAEkvhsgk/LnGOaOYfIzq6K5WTxN4gW61CMeD7t4rdWNvML62xdEMAAo35XKkt82MYx1NNk8UeI1hsHTwXdyPOCZ4xf2wNthiBk78NkYb5c9cdaOYOVnWUVyK+KvEhjvGPgq7DQkeSv9oWx8/5sHB3/AC4HPzY9KmfxJr63Wmxr4SumiuERrmX7bb4tCWIZWG/LbR83y5znjmjmHyM6iiuRtfFXiObT7yaXwXdw3MOzybU39sxuMnDYYPhdo5+brnipP+En8Q/adPj/AOEOuvLuFUzy/brfFsSxBBG/LYADZXOc4HNHMHIzqq7D4V/8jUP+uL/0rzLwzrWrax9p/tTw9PoPl7fLE11DN5uc5x5bHGMDr6+1X9Qm8fx3FuPh7DYy6od3nNeEfLHgfdDcdfWubFVPZ0JSs2aUFarG59TUV8rfaP2of+eWi/8AkCl+0ftRf88dF/8AIFfJ/Xl/JL7j6S59TGvlf4VH/jOT4j/9glv/AEKzp32r9qL/AJ46L+UFcz+zO3iKT9q7xo3i1YU8Rf2NJ9sW3xsDeZa4xjj7u2uKriFWrUkota9VboFz7NXpS0i9KWvoBhXlX7R3/IgJ/wBfsf8A6C1eq15X+0d/yT+H/r+j/wDQXoA+Y6KKKAPrz4O/8k10L/ri3/obV2lcb8HRj4a6F/1xb/0Nq7KgAooooAaeteefGz/kWbb/AK+V/wDQWr0Q9q86+Nf/ACLNt/19L/6C1fJ8Ve7kuJf909DL/wDe6fqdroP/ACB7L/rin/oIq/zXlun6l47WytxBY2rQiNdmeuMcfxelWv7U+IH/AED7T/P/AAKvKwvFFONCmvq1XZfYfY3ngJcz9+P3o9H3Dp0rzz4w/wDIP0/081v5VD/afxA/58LPP+f9quc8Z3XiS4trUa1awQRBmMbRdc457mvay/iKGIxMKSw9RXe7i0l6s8/GYKVOhKXPF27NHLUVT1a8nsNPlntrKXUZ1GVtYHRXfnHBdlX8yKwl8V60zWmfB2pqJv8AWH7RafuPmI+b99zxz8uevrxX6TzK+p8ao3Oporm/+Em1bydQc+E9S3W5AhQXFrm5BbBKfvcDA5+bbx78Ui+KNWM1gn/CJakq3CqZpDcW221y5Uhx5uTgDd8gbgjHPFHMh8rOlormF8Vawba8kPhDUxJC6rFD9otN04JILKfOwAMD7xB+YYzzS/8ACUawLi1jPhHUvLlRWkm+0Wu2AnOQw83Jxx90HrxmjmQcrOmorll8Va0bGac+DtUE6SKi2v2i03yKQcuD520AYHU55HHXDovFGsSXccTeENSjiaPeZzcWpVW2bthAmznPy8DGec45o5kHIzp6K5geKtZ/sk3R8IakLkTCIWX2i18wrtz5mfO27c8Y3Zz2xzUlv4m1aS/SCTwpqUULRCQ3TT2uxW8vdsIEpbIb5MgYzznbzRzIOVnR0Vyn/CXa39hE/wDwhWq+d5uz7P8AabPdtxnfnztuM8dc+1SReKtXkuJY28I6nHGsZdZmuLXa7BchABNnJPGSAM98c0cyDlZ09FcpJ4s1uOxhmXwZqkk0jMr24ubTfEBjDEmbaQcnGCTwc44zZPiTVRdXsX/CLah5cEbPFP59ttuGGMKo83IJ7bgBxyaOZBys6KiuXn8VazDp9pOng7VJp5i/mWyXNoHg2kAFiZgp3dRtJ6c4qRvE2rLcX8Y8Jak6W6kwyie1AuSGAAQebkZBJ+YDgeuBRzBys6SiuYk8Vawkdkw8Iam7TgmVRcWg+z/NjDZm54+b5c8H14pY/FOsNDes3hDUkeAAxI1za5uPmwdn73AwPm+YrwPXijmQcrOmormI/FOstNZI3g/U41nx5sjXFqRb5cr8+JsnAAb5d3B9eKu+Hta1DV2uBfaBeaII9uw3UsD+bnOceVI+MYHXHUe9NSWwuVo9D+GP/I3W/wDuP/6DXtv86+XLzUPG+m3lnJ4F06x1HVcuHjvmIATHUDcMn6mrP/CW/tK/9Ct4e/P/AO2183mGJVOryuLenRHt4PSmfTeBRxXzH/wl37Sv/QreH/z/APttH/CXftLf9Ct4f/76/wDtteZ9fX8kvuO65R/ak/5OB+Cf/YUh/wDSuCvqla+DvH2qfETVPjp8Jj8QdLsNOuV1i2+yLYdGX7VDvLfM3Q4r7yXpWWBqe0qVZpNXa39ChaKKK9kDzP8AaE/5J3J73MX9a+W6+of2iGx8PSPW7iH6NXy9QAV9afA5dvwu0Qe03/o56+S6+t/gov8AxbDQ/wDdkP8A5FegDuaKKKACkb7ppaa33aT2A8s8Ff8AJUte/wB1/wD0Na9S9BXiUFxrFt8Q9cOixRzXJLBll6Bdw56jviul/tPx+f8AlwtP8/8AAq/IeH89hgaFWjKjOTVSesYtr4n1Po8bhJVakZc0V7sd3boj0qivNf7T8f8A/Phafl/9lS/2p8QP+fC0/wA/8Cr6n/Win/0DVf8AwBnn/UJfzx/8CRwXiT/kYNS/6+JP/QjWdU+oNcSajdNdoqXRlYyqnQNk5xXM6r4g1Ox1RbW28N32o2xAP2yGa3WNSeoIeUNx7LX6hh6yrUIVbNKSTs9H80fDVYctSULrRm/RXKL4t1ttPkuD4L1VZlkVBbfabTewIPzA+dtwDxyc8jipz4m1f7ckH/CJ6j5Jj3m6+0W2wHZu2483dnPy5xjPOcc1vzIz5WdJRXLf8JZrP9mi4/4Q3VPtHneX9k+02m/Ztz5mfO24zxjOfbFWJfEeqx6lLbr4X1CW3WLet4s9t5bts3bADLuzu+TkAZ5zjmnzIXIzoaK5RvFutLYJP/whmqGZpWQ2wubTeqgAhyfO24JJHBz8p46VLc+KNXhvrqCPwnqVxDEGMdylxahJiOgUGUMM/wC0B+FHMh8rOmorl18VayYrRz4P1MNM5WRPtNpmAAgbm/fYIOc/Lk8dKWbxTq8dxfIvhHUpI4M+TMtxahbnDADaDMCMglvmC8D1wKOZBys6eiuZl8UaxHZ2Uy+EdSllnLebbrcWoa3wcDcTNg5GSNpPTnFRzeLNajmvETwdqciQ58qRbi0AuPnCjaDNkZBLfNt4HrgUcwcrOqormT4o1j/QseEdSPn/AOt/0i1/0b5sfP8AvueMN8u7g+vFMXxXrTQ3TnwdqivFjy4zcWmZ8nGVPnYGBz82KOZBys6miucXxJqv2uxiPhbUBFcRq803n2222JJBVx5uSRjPyhhzxmoIfFmtSWNxMfBmqJNGyhLc3NpulBzkqfOwMYGdxH3hjPODmQcjOqornR4j1U3lpD/wi+oCGaJXluPPttsDEElGHm5JB4+UEZPBqovjDW2tZJT4J1ZZVdQsH2mz3OCDlgfPxgYHUg89OtHMg5WdbRXNS+J9XS6SJPCWpSxGISGdbi12qxTdsIMucg/LnGM98c1B/wAJdrf2MTf8IVqpm8wr9n+02e8LjO7Pn7cZ4xnPB4o5kHKzrK9t+Gn/ACJtl/vSf+htXiEbF41YoUYjJVsZHtxVPT/Enx4s4Xi8M+HdDudDWWQWsszEuy7zy37wc/gK8rMa6o01Jxbu+iO7BfxH6H1LgUYFfMf/AAl37S3/AEK3h/8A76/+20f8Jd+0r/0K3h/8/wD7bXz319fyS+49rmPZ/jV/yR3xyf8AqBX3/oh64n9jk7v2f/Dv+9cf+jnry/4heKP2g7jwH4ji1rw3oMGjvptyt7LEfnSAxN5hX96eQue1en/sc/8AJAfD/P8AHcf+jnrnp11Wxiai17vVW6j6nttFFFe4MK+UPjwc/ErUf9yL/wBAFfV9fJnxybd8StU78R/+gCgDgq7n4I/8lQ0P/el/9EvXDV3HwT/5Khof+9L/AOiXoA+t6Kpanq1ro9r9ou5RDFkLvIJGT9Kyh8QNA/6CMf8A3y3+FNRctUiHOMdGzoefWjn1rnv+FgaB/wBBKP8A75b/AAo/4WBoH/QSj/75b/Cnyz7E+1p/zI6Hn1o59a57/hYGgf8AQSj/AO+W/wAKP+FgaB/0Eo/++W/wo5Z9g9rT/mR0PPrRz61z3/CwNA/6CUf/AHy3+FH/AAsDQP8AoJR/98t/hRyz7B7Wn/Mjov518o/tMf8AJyXwa/6/bf8A9Kkr6M/4WBoH/QSj/wC+W/wr5r/aEvota+Pnwl1KwEl3YWd7Cbi4iiYpEFuFY7jjjCgn6A152OpzdLRdV+aH7SH8yPrTd70ufeueHj7QP+glH/3y3+FH/CwPD/8A0Eo/++W/wr0FCfYXtIfzI6Hn1o59a57/AIWBoH/QSj/75b/Cj/hYGgf9BKP/AL5b/Cnyz7B7Wn/Mil8Uv+RJ1D6Ln/voVe8Cf8ilpef+eC1zXxB8WaRq3hO+tbS9Sadgu1FVsn5gfSrfhHxlo2n+G9Ot579I544VV0Ibg/lXxkKNT/WOc+V29kun95nqOrT+oJcy+J/kd1z60c+tc9/wsDQP+glH/wB8t/hR/wALA0D/AKCUf/fLf4V9nyz7Hl+1p/zI6JaDWNpvivStWuhbWl6s0pGQig9B9RW1Ss1uaKSlqj5d/aC/5Oh+Dv8A12/9qivqA/dr5f8A2gv+Tofg7/12/wDaor6gP3a8nC/xKvr+iKPLP+a2D/rl/wC069Sry3/mtg/65f8AtOvUq+d4Y/5i/wDr7L9D08d/y6/wofRRRX255YUUUUAFFFFABRRRQAUUUUAFFFFAHm/xw/5F+y/6+1/9Aeu+sVH2WLj+Efyrgfjh/wAi/Zf9fa/+gPXoFj/x6xf7gr4rA/8AI9xf+GB6VX/dKfq/0Jto9KNo9KdRX2p5p5j8ZlG3SuO8v/stea16X8ZPu6V9Zf8A2WvNK9vC/wAJHz2M/isKKK8q/aI+I3ib4b+F9DuvCWnWuraxf6vFZCzug582PypZXVNnPmMItq8EZbpXRKSirnLGLk0keq0V5poPxet/F3iTwY+jywy+Hdf0K81YzOP3iNE9soQkHClfOkV1IyGXHGDVzRfjl4U1/WLfT7WbUAbxJH0+6n0y5it9Q2KWcW0jIBKQoLALksASu4AmpUol+zkjv6K8e+Gn7SGkeM/CravqtnqGin+120pfM0u7SEs129vBiR4gpZiq7gD8hOGxXa3HxS8MW+qeKtPfVEF34XtY7zVU8t8W8To7I2cYYkI3Ckngeoy+aLVxOE07WOsorz3xF8dPDHhm6WCddYu5Ft47y6/s/SLm6+wwuCyyXHlxny+ATg/NgE4wM0a98ePCHh/VbDTDc32p6jf2Mep21rpGmXF7JJau5UShYkYlQQSe4A9xk5o9x8kux6FRXmHhP4oRw32uWuvaiZbqTxPcaRpdrHDulZFVCFCouSqgsS56DOTT/jV8Sb74fnwrb2s1lpUGtan9huNd1SNpLWwHlPIu9VZcs7IEUlgoLZJ4pc65eYPZyUuU9Mork9K8VrpDeHtG8Q6tZ3XiDVxObaWxhaKC68v5yEDM+GEZBI3HO1iOBVSx+NHg3VNHGqWetxXNkdXGg7okcsL4yCMQlcZByQckAbSG6HNPmRPLI7eivCvEH7R0PhSHQjtm8RjUvFlzoMs2m6Pe7beOJpwyAKr+ZMpiVdo5f52VcA473xB8YvD/AId1mHSpotXvL1oY7iePTtJubr7JC5ISSfy0PlAlTw2DwTjAJCU4sp05x6HcUV4fb/tDaZ4S8WfEGz8V3969jpWsxQwSWumSzxafaNY2sgeeSGMhEMskmGkOScgcLx7Brg1KTSLn+xpLWLUin+jyXis8KtkcsqkEjGeAR9RTjJSWgpQcXZmhRXl/w18aeJrz4keMPB/iSbTdQfRraxu4b/Tbd7cMJxLmN0aR+QYs5B5DdPX1CnFqWpMouLswrsPhX/yNQ/64v/SuPrsPhX/yNS/9cX/pWVf+GzXD/wAWJ7PtFAGKWkXpXgn0wYFfK3wr/wCT5PiR/wBgpv52dfVNfK/wr/5Pk+JH/YKb+dnXmYv+JS9f0A+qaKTuaWvTAK8p/aQO3wDb/wDX/H/6BJXq1eTftKNt8B2nvqMY/wDIclAHzRRRRQB9f/CNdvw30If9MM/+PGuxrkvhOu34d6Dj/n2H8zXW0AFFFFACHtXnnxr/AORZtv8Ar5X/ANBavQz2rzz42f8AIr23/X0v/oLV8rxR/wAibEf4T0Mv/wB6p+p2eg/8gay/64J/6CK0MCs/Qf8AkC2X/XBP/QRWhXuYP/dqXovyOKp8TECivO/jF/x4ad/11b+Qr0Veled/GP8A5B+nf9dW/lXqUP4iOPEfwmeWUUUV7582JtFLXkv7SPxb1z4P+FfD994e0m31rVNW1210eKzuGKhzKshAByMEsirk8DdntWtpHxYi8S614FGlLHLpPiTTrq+MjhhJGY1iITBxgguwIIzkVnzK9jT2crc3Q9EpMAdq4W0+NnhG/wBUNhBe3rysZkgm/su6+z3TxAl0t5vK8udwFb5Y2ZjtOAcVgeA/2ivD/izQde1a/S80S00rWJNLaW80+6hjIN2baBt0kSjczbNydYy3z7afNG9g9nO2x6ztFLXOf8LC8O/8JBrWif2tb/2lotrHeajBu5tYXBKu56DhScdQMHGGGcLWvj14J8PpE11qV3IXsF1R1stLu7toLVhlZplhiYwqRyDJtzg+ho5ooXJJ9D0CiuC1b45+B9F1zTNHn1zz9S1PT01SxgsLWe7N1aswVZYzCjhhnng8KCxwoJqC1+KtlpeueJLbXr6OBIddg0nS4IoHeadpLO2mCBEBZjulck4wqjJwBmlzRH7OVtj0Sk2ivNfjN8SNR8Bt4Ys7AWNk2uX7WLaxq277HY/umdTJhlyXZQijcMsw69K6HS/E8mkpoem+Jr60m1vVGlS3l0+2lW2uCilyAx3KjbBnaz84bbnBwcyvYXI7XOp2ijaK5KP4teFJtH1TVY9WVrHS9UbRbuQQSEx3gnWAxbdu4nzGVcgEHOc4rzzxB+0ZbeDW08XcjeIft/iyfQjJpOj3u20ijaRWRsI/mTI0eCF+/ksq4Boc4oapyfQ9w2ijaK4nxP8AGjwl4PuorXU727S6e0+3yW9rpl1cyW9tnHnTrFGxgTORmTb91v7pxw2h/tGaRo/izx9pni3VPs0ej619ltmt7CeVLa18i3IkuHjRliQySuPMkKqcHn5Tg549wVOTWx7ftFLVPVGvG0m6bTBA1+YmNt9pJERkx8u/bztzjOO1eceA/HHin/haGseB/FTaVe3drpUGsRX+kwyQJ5cs00YhZHd/mHlZ3A856CnzJNCUXJN9j1OiiirIOr+GP/I3W3+4/wD6Ca9rrxT4Y/8AI3W3+4//AKCa9qrxcV/EPdwX8IdS0lLXIegfKv7UH/JwvwS/7Ccf/pVBX1T6V8rftQt/xkJ8Ev8AsJxf+lUFfVPpXmYX+LV9V+SAWiiivTA8s/aMYj4fp6fbI/5NXzFX07+0Z/yT9P8Ar9j/APQWr5ioAK+uPgv/AMky0P8A65v/AOjHr5Hr68+Dq7fhroX/AFyY/wDj7UAdpRRRQAUjfdNLSN900pbMDyvwWP8Ai6XiD/dk/wDQ0r1IgeleXeC/+SpeIP8Adf8A9DSvUjXw/CP+5VP+vk//AEo9bMv4y/wx/JC7RSMo9KdSV9zY8k+efEn/ACMGp/8AXzJ/6Eazq0fEn/Iwal/18yf+hGs6voqfwo+Vn8TE2iloryDQ/jNqM3xo1nwrqlla22g/a303TL9HId7uK1t7l4pM8ZdJyU28/uXyOM0Sko2v1FGLknboev0V5xpPxi0618Lzav4hf7GW1u80i2t7O3luZrl4rmWJFjhjVpJHKxliFU4AY8AHGP40/aU8O+HfDmg6zpkd7rFvqOvRaJNHHpt2JrR/NCTCWIRb0lXIIjdQz5G0NmlzxtcpU5XtY9e2ilrjv+FueFls9fupL+e2i0HT49U1IXen3Nu9vbPE0qyFJI1ZvljfKqCQVKkBuKnk+KPhaFdEeTVo4YdZ0+bVbOeWN0ia1iRHkmd2ULGqrLGT5hX72OoNPmj3FyS7HU7RRtFcP4R+Nng/xtqdvp+l6jcLeXVsby1i1DTbqyN1AOskJnjQSqAQSUzgEGvPPi9+0vp1v8G/E3iX4f6mupX+mGw23UlhMbXE91BGyh3RUdwkpBUMWRuGAIxRzR7jVOTdrHvlFYegeNdG8UalrNjpV59tm0edba8eOJ/JSUruMayldjso+8qsShIDYJFcH4f8feJPGHxA17T9N1Pw7a2Wh6h9iudJnjle/dNoYS7t4ChgSVwrAgdc5AXMlYSpt38j1iiuLvvjH4N03R59Vu9dt7ewg1ZtCklkDKVvhL5Rh24yW3Z5Axty2dvzVn+PvippXh3V9N0eHxBZabqjavptncQ3VlPcB1upHEcCmPAjlk8ttrMcLjLDBGTmitbjUJPoeiUV5h4G+PGkeLvEXi/Spre+006BqE1qbq40+6jtmiihjkaSSd4hFGcu3yswJVQw4YE0PEn7QWgXXgPX9X8NajILux08ajC+p6fcWkUtuXC+fGZkQSxjPLoSoyuTyMrnja4/Zyvax69RXIeC/in4b8d3k1lpN9NNeQwJcmO4sp7bzIXJCzRGVFEsbEHDpuU469KpfEq88c6fb3N74ZvPDenafY2huZZteEpEjKHLIzIyiJAFQ+Yd2Mt8vHL5lbmI5XflZ3lJtFc18M/F0nj74e+HPEkto1hLqthDeNbNn92XQMQM9uePbFdNVolqzsFe2/DP/kTrL6yf+htXiVe2/DX/AJE+y/3pP/Q2rhxnwI9LA/xH6HVUtFFeSe2cV8ah/wAWd8df9gO+/wDSd64j9jj/AJN/8P8A+/cf+jnrt/jZ/wAkd8df9gO+/wDSd64j9jj/AJN/8P8A+/cf+jnry5f77H0f5ge2UUUV6gBXyT8bm3fErVvYoP8AxwV9bV8j/Gpt3xK1j/eUf+OigDh67j4I/wDJUND/AN6X/wBEvXD13PwR/wCSoaJ9Zf8A0S9AH0J8U/8AkVX/AOuqfzrxqvZfil/yKsn/AF2T+deNV6+E+A8DGfxfkFFFFdxwhRRRQAUUVxvxc8cXPw88B32sWFlHqWqeZDa2NnLIY1muJpVijUt2G5wT7A0nZK7Gk5NJHZUVwGk2fjHwrnVvE/jHTNR0qGF59QiXSvs6wKsZJMLiQkKGGfnDHaDzmqHhn4+aT4k1rw/YvoXiDR7bxEkraNqepWqR21+UUvhSsjPGWjVnUSom5V45IBjmj1L5H9nU9Oorybw7+0l4b8SeFdU8TLput2HhzT96SaneWYWOaZZvK8mIKxaVy+FG1SCTtB3AqOk8H/FKx8VeIb3w9c6ZqXh3xFa20d62lawIVmktnJCzIYpHVk3AqcNlWGGAyMnPFh7Oa3R2tFFFaGYUUUUcsdwCiiigDrvhb/yNcf8A1yf+Ve0r0rxb4Xf8jZH/ANcn/lXtVeJif4h72D/hHy7+0F/ydD8Hf+u3/tUV9QH7tfL/AO0F/wAnQ/B3/rt/7VFfUB+7XgYX+JV9f0R6B5Z/zWwf9cv/AGnXqVeW/wDNbB/1y/8AadepV87wx/zF/wDX2X6Hp47/AJdf4UPooor7c8sKKKKACiiigAooooAKKKKACiiigDzf43f8i9Zf9fa/+gPXoFj/AMe8X+4K8/8Ajf8A8i9Zf9fa/wDoD16BY/8AHtF/uCvisB/yPcX/AIYfqelV/wB0p+r/AELFFFFfanmnmXxk+7pPpmX+S15pXt3jDxtaeEWthc2805uN23yQpxtxnOSPWuc/4XVpX/Phd/8AfKf/ABVeFiOMMpymq8LiqyjJbp36i/sXE4v97Si2meaVwvxQ8H6h4tvfBElj5WzSPEMGp3Pmvt/cpDMh28cnMi8fWvob/hdml/8APjdf98p/8VSf8Ls0v/nwu/8AvlP/AIquR+IGQSVniI/j/kXHh3HRd1B/cfHlr8C9X0v4v61fafLbW/gvUNK1EQxb8yWl7eNb+cFj2j92TCZPvH5nbpmo/hB8ILzwf/wh9rq/hy6lvtAjEY1ZvEU01qHWB4vNitmYgblbG3aAoc88c/Y//C7NL/58Lv8A75T/AOKo/wCF16V/z4Xf/fCf/FVn/r7kH/QRH8TT+wce1Zwf3Hx9ovwf1uf4LeNvh9qVrHBJdz6jcafqcdz+7eSe5luIGwMMpRmjJz3HFcldfAPx1rV1pWu3qaNBrevtcWPi2NJGaNbF7qCWNYh0kKJA0eWwf37V93/8Ls0r/nwu/wDvlP8A4qk/4XZpf/Phd/8AfKf/ABVJ8e5A/wDmJiNZDj1e1N/cfKNz4T8VeE/GXxBvNH0a21yy8VJbywObtLY2ksdmlsUkBUkp+7Vgy5xuI28ZMPwr+C+qfDnxvoVxJcQ3ul6X4JtPDv2gfK8lxFO7sdnZSpHevrX/AIXVpX/Phef98p/8VS/8Lt0n/nwu/wDvlP8A4qq/19yC9/rMfx/yF/YOOtb2b+4+O9I+DOu+F/irc+PNNEL311q1zDd2sk+Y59MmKEMAQQksbqGyuNwLKSflx6f44l1VrWC1tPDVr4l064WRL6Ce6WMqMDZhHUq4JznJGMDrXuv/AAuvSv8Anxu/++U/+KpP+F2aT/z43f8A3yn/AMVQuPsgSssTH8f8iXw/jpO7pv7j4dsvgV4y0P4a50w2lt4j03xc3iLQ9Ijuj5FlZuwjk08TFTtQwtN91cZbAFX/AAP8Add8H/ETRmWZH8JRw2eq3Uf2kZXVorWS1kxHs+dHUwuWY53IePT7SHxr0nvYXf8A3yn/AMVTv+F2aV/z43f/AHyn/wAVS/194f8A+giP4lf2Dj9VyP7j4t/4Ux4o0/w9pbRQWt1f6X8Q7zxWLRbgKZ7WWW62qHIwH2zqcHjgjNdlBofinwh8QfFes6Zo0et2viNbW4Al1BYTaTRQiJoyCp/dkKrZXJyzcV9Pn416V/z43f8A3yn/AMVSf8Lr0r/nwu/++U/+Kp/6/cPrbER/EP7Bxz+w/uPlPVvhjrWoeE/jfYKlv9r8Xm4/s0eb8p36XBbLvOOP3kbevHNeg+JJNe0zwTdf8I5aWd/4iitQtnb30xjt2lwAN7KM7R1wMZxjIzke2f8AC69K/wCfG7/75T/4qj/hdmlf8+F3/wB8p/8AFULj7IVtiY/j/kS+H8c96b+4+aPg34Z1fwjZXFvrGnTS6rfM17qev3F1E8l9dHaCfLTiNAOEQcIqKvPU+l16Z/wuzSv+fG7/AO+U/wDiqP8Ahdmlf8+F3/3yn/xVVHxAyGKt9Zj+P+RMuHcbJ39m/uPM67D4Wf8AI1D/AK4P/MVt/wDC7NK/58Lz/vlP/iq1/C/xKsPE2pizgtriKTYX3SKoHH0J9a6aPG+TY6pHDUK8XOWiSvq/uI/sLF4f97ODSXkdtRSA5pa+gGJXyv8ACz/k+T4kf9gpv/QrOvqivlb4V/8AJ8nxIP8A1Cm/9Cs68vGfHS/xfoB9U/xUtJ/FS16gBXkv7S3/ACItl/2EY/8A0VLXrVeSftLf8iLY/wDYSj/9FS0AfNVFFFAH2N8Lvl+Hug/9eqmuqrmfhmNvgDQB/wBOcf8AKumoAKKKKAEPavPPjZ/yK9t/19L/AOgtXoZ7V558bP8AkV7b/r6X/wBBavleKP8AkTYj/Cehl/8AvVP1Oz0H/kC2X/XBP/QRWhWfoP8AyBbL/rgn/oIrQ7V7uD/3al6L8jiqfExOled/GP8A5B+nf9dW/lXolc34u8Y2nhOKCS6hmmEzFV8oA4I+pFaV8dRy6m8ViJcsY7t9CPYTxP7qCu2eG0V6Z/wurSP+fK8/74T/AOKo/wCF16T/AM+V5/3wn/xVeH/xEDIf+gmP3sn/AFcxv8j+4+W/2hPAuseOl+HI0e3W4/sfxppmsXm51XZbQmQyNz1xuHA55rB8O/CLXvBv7QUd/p6xy+AZYb3UIU34fT7248sTwqpJzG7RiUYwFZ5Bjoa+wv8Ahdmk/wDPlef98J/8VR/wuvSf+fK8/wC+E/8AiqzfHmQN3+sx+9m0chx8VZQf3HxP8I/hNeeG4/CWg+IPCutTXHhwqY9X/wCEill0zzI1KLNFbtMcblZvlMYxk1t6B8PdeuvBvxT8GanpjWC6lqWqX+marHcRsk4up5Joio5ZHjLJncODgjNfXv8AwurSP+fK8/74T/4qk/4XVpHT7Fef98J/8VS/18yD/oIj943kWPk7+zf3H5/X3wS+Iut6H9vmjksvEXjS6uLDxOv2iGRbDT5ZbeJdvy4k22dsV7ndKxGO3pX9j+LPhr8SfGeo6J4Og8Sab4m+wtayWt1FbG0aG2EBjuN//LMbFZSgbAZ+PX64/wCF1aP/AM+V5/3wn/xVJ/wurSf+fG8/74T/AOKpf695B/0Ex+9j/sPHvem/uPif4MfAjXfhb8UPB887C/0nSfADaFPf7wc3jXyzlAp52gbsHHQDvWrd/DXxNoHxg1f4iaRZR6m0upLbSaXcSqDNYvaWkbTwPnEcqSROSDxIoK8Haa+xP+F1aR/z5Xn/AHwn/wAVR/wurSOv2K8/75T/AOKp/wCvmQbfWY/eL+wcfe7pv7jwX4kXV9DoPlW/hFfGdpNuS50/z4UOMcHEuEYeuSMds14vp/wj8YeGfhTNNpGmQ/2zp3ib/hIPD/hy4uFYWNscI1mJc7QSjz8jKr5mBkAV9xf8Ls0j/nyvP++U/wDiqP8AhdWkf8+V5/3wn/xVOXHeQy1eIj9//AFHIMdFWVN/cfCvgv4B+JvCfjHwfosiQTeEofsfiHWtQiuGWSbVoIJUdSCSZBJO8U+SAB5Z9Ri3qfwv8X6b4Zju7PRRqV/p3xKu/FC6etyiSXNk88+CjE7d5WZW2sR0wSDX2/8A8Lq0fH/Hlef98J/8VR/wurSP+fK8/wC+E/8AiqX+veQLbEx+/wD4BX9h4/rTf3HyDb6H4v8AAfxh8X+K9O8MSeIrPxla6afJW9igbTJreGSNkl3H5kO5W3JnksNpxkr/AMKx1weF/jnaGxja68T3dzLpqiRT5yNYRRID6fOrDnHr3r69/wCF1aR/z5Xn/fCf/FUf8Lq0j/nyvP8AvhP/AIqj/XzIP+giP3k/2Dj/APn2/uPFfEF1q2i+C76bRdPTVNbtrJjaWMkgjWaZU+VCx6AsBzXm3wFsfEGlXOoN4j8J6ra69qg+16t4j1K6t5DdzDCrGiRuxjiRTtSMDCqvOSST9Z/8Lq0j/nyvP++E/wDiqP8Ahdmkd7K8/wC+E/8Aiqr/AF9yG9/rEfvJXD+Ns17N6+R5nRXpn/C7NI/587z/AL4T/wCKo/4XXpP/AD5Xn/fCf/FVp/xEDIv+giP3mf8Aq5jf5H9xzvwz48XW3+4//oJr2uuI8N/E3T/EerRWEFrcRySBiGkVQvAz2Y+ldxkCvXwubYXOKf1jCTUo7XQ/qdTBfuqqs9x1FFFdoz5U/ag/5OE+Cn/YTi/9K4a+qfSvlb9qE/8AGQ3wUH/USi/9K4K+qh0ry8L/ABq3qvyGLRRRXqCPLf2jP+Sep/1+xfyavmGvp39oz/kn6f8AX7H/AOgtXzFQAV9ffB9dvw30L/rgf/QjXyDX2B8I/wDkm+hf9e/9TQB2FFFFABSN900tI33TSlswPLPBf/JUvEH+6/8A6Glepf415b4L/wCSpeIP91//AENK9S/xr4fhH/cqn/Xyf/pR6uZfxl/hj+SHUlLTK+52PKPnvxJ/yMGpf9fEn/oRrOr1TUPi9pen309s9ndM8UjRsyqmCQcE/eqv/wALq0j/AJ8rz/vhP/iq+elx1kdGTpzxEU1o9X0F/q/jKnvRg7PyPM68X1f4P6l4o0n4lW7Sf2RqV/4gTWdA1JSrNBNFZ2iRS4wcDzYXVgRkru9RX1p/wuzSP+fK8/75T/4qk/4XVo//AD5Xn/fCf/FVjLj7IJb4iP3v/IqPD+OhtTf3HwlJ8HfGN5o/gHxHqelznWNF1jWb7UdB0XVmtZGS+aU7obhXQkoSuASNyuwJHIPSa98NdQvfh9bajo3hnUrPW7fxPYeILjS9U1c3l1ei1kjGPOkkcK5ijAALY+UDjNfZf/C6tIGf9CvP++U/+KpP+F1aR/z5Xn/fCf8AxVR/r3kH/QTH7/8AgGv9h49/8u39x8dfFT4Z+IfH/i7wnqFrpFvbaZrFvBYeKoLuXdJFaQ3Md2kfyttbJWaE4z/rj2Fcd/wzd4n8SeGfiRpOoC10pl0lvDXhV7eVtn2ITvc7nXcQu9mhiPGQIOmDz97f8Lq0j/nyvP8AvhP/AIqj/hdmkf8APnef98J/8VQ+Osgbv9Zj94lkOPSsoP7j5Hh0fxf8RPiF4H1fV/CsfhS08KveyztcXcdzJdSy2rQKkDRnIj/eOxLhSdi/KKw/iD8IfEOtfsaweArHTkPiEWWnRPZrKiDfHdQSTfNnGcI5znk/WvtT/hdWk/8APnef98p/8VS/8Lq0j/nxvP8AvlP/AIqj/XzIOuIj9/8AwA/sHH9Kb+4+a/gv4Y1r4f6XeeEL+2WXSdLkzpOqxup+02zszBJV6+ch4Zv4htbJJNcl8Q/DGt+OvF2npb/D8aZq+n6hBPbeMlvIQI7dJkaQAr+9O+JCpQrj5sE45r7B/wCF1aP/AM+V3/3yn/xVJ/wurSO1lef98J/8VT/19yFq31mP3iWQY7m5vZv7j4n8cfA3XvF3xQ16E+Yng67t7jWYpFmjA/tZ7L7Ci7NuVCo0km4fxlTnjFZA+C/jTWvC/h3VtUtEk8V3nxE03xJq0TyRZtrK2ZYY0Drw+yCKNvXLt1PX7v8A+F1aR/z5Xn/fCf8AxVL/AMLq0n/nyvP++E/+Kqf9esgvf6xH7/8AgFf2Hj7fA/uPjjVPhv4lvl+L/hBdPki0/wAYvcX1n4gjuIxFE0lnDAsLpnfnfE2SFI2nrWjrf/Ca/EH4ba34dvfAqaDKbD7PhtQiljmmVoxtiVR/qiPM+Z9p+VRt54+tv+F1aTz/AKDef98J/wDFUn/C6tI/587z/vhP/iqr/XzIP+giP3/8AX9g47/n2/uPmibwjqkvx+0TxItvnSLbwxcafJPuHEz3ELquOvRGOenFYHx8t/FfiTVNJ8PWnhC+8Q+CpEF1q32G8gie8YMQtowkdcR8Bnx94EL03V9bf8Lr0f8A58rz/vlP/iqP+F1aR/z5Xn/fCf8AxVH+vmQ2t9Zj95K4fx17+zf3Hj/hm6mvNBsZbjS30OZowDp0jIWt8cBMoSvAx0OK1K9M/wCF1aR/z5Xn/fCf/FUf8Lq0j/nyvP8AvhP/AIqtFx9kP/QTH72Z/wCruNevI/uPM69s+Gv/ACJ1n/vSf+htXPf8Lq0j/nyu/wDvlP8A4quz8Na9D4k0mO+t43ihkLALIAG4JHYn0ruwnFGW5zP2GDqqUlrZdhf2TiMD+8qxaT0NqiiivXKOK+Nf/JHfHP8A2A77/wBJ3riP2OP+Tf8Aw/8A79x/6Oeu3+NX/JHfHI/6gV9/6TvXC/satu/Z/wDDx/6aXP8A6OevLl/vkf8AC/zEe30UUV6gwr5D+Mh/4uVrf/XVf/QRX15XyB8YP+Sla7/12H/oIoA46u6+CH/JUNF+sv8A6KeuFruvgf8A8lP0X6y/+iXoA+g/il/yKsn/AF2T+deNV7L8Uv8AkVZP+uyfzrxqvXwnwHgYz+L8goooruOEKKKKACuO+LngOX4lfD/VNCtr86VqEnlz2V+qhjb3MUiyRPg9g6DPsTVWx+Ovw+1LxZL4Yt/F+lPr8U7WzWDXAWTzg2wxjOMtu4wMknpXd1GklYrWLTPJbnSPiN8QvDuq+GfFGl+H9DsLuzmsrjULC/muXuN8LoHiiKJ5Q3lGw7MduV6ncM+z8EePPGureDLfxnY6HpuleE75NR+06bdyTyapcxQSQxOqFVECZkaQqxkP3Vz1J9qqCS+tobqC1kuIkuZwzRQs4DyBcbiq9SBuXOOmR61PIurNFUfRHh2mfAXWJP2bYvAd1cWNvrkF699DJIrTWxddQN1GrgFSVYYVscjJ6456v4X+CZNJ1q71W+8BaD4Uv/s/2VLvTb43U8sZIZkJMSYTcAcZOSBwK9Noo5I9Be1k013CisjxR4s0XwTo82ra9qlrpGnQ/fubuQIg9snqT2A5NakcizRpIjBkcBlYdwehrUys7D6KKKACiiigDrvhd/yNkf8A1yf+Ve1V4r8Lv+Rsj/65P/KvaV6V4mK/iHvYP+EfL37QX/J0Pwd/67f+1RX1Afu18v8A7QX/ACdD8Hf+u3/tUV9QH7teBhf4lX1/RHoHln/NbB/1y/8AadepV5b/AM1sH/XL/wBp16lXzvDH/MX/ANfZfoenjv8Al1/hQ+iiivtzywooooAKKKKACiiigAoopG6UALRTd1L/AA0AecfG/wD5F+y/6+1/9Aeu9s2H2aIf7Argfjfn/hHbLHX7Wv8A6A9V4PipfRwon/CPXh2gDIVv/ia/MZZvhcrz3E/WW1zRjayb/I92OFq4jCQ9mr2b6pdu56hRXmX/AAtq+/6Fy8/Jv/iaX/hbN9/0Ll5+Tf8AxNe1/rdlX87/APAZf5HN/ZuJ/l/FFD46ddI/7a/+yV5V93Fdh8QfFU/ib7F5+nzWHkl9vmg/NnHTgdMfrXHqfTmv5X44xlLHZzUr0HdNLo108z9JySlKjg4wmtbsWiiivz4+gDp1qK4uobOFpJ5Y4Ix1eRgoH4mpD93NeSa7omm+PvjtcaL4igt9V0rS/D8N5babdIHiM09xMjysh4YhYkUZHGTjrXt5bgYYyU3Vk1GEXJ2V30Wiuur7nLWqOmlyrVux61HIJEVgwZSMhgeCKXPpXmmq3EvgXXPC3gjwZZWGlR6oL69aa5jaWC1iiMbOqxCRCSzzqAAwCgHjGBXH638bfFWm/ZtHtodIm19PGUPhi4upYJVtXjltnnWVIxJuVgvlggsRkN6jHuUeGcRjLTw0lytXV9HyptczSulqu7ZzSxkKek1r+F+x7574pOOuMV4P8QfFXjKbwT8S9Jl1DTLfU9DSF49Rs7WWNZoJYN+3YZiUkDA/NuIx/DXS694m8b6b408IeFrS90OS71Syvbq8vprGbYvkvCEEcQnzyJsHL9RnjoR8M1eSLVWN3fq9lHmvt2+fkJY6N7cr/p2/M9T5+tV49Qt5rya1SeN7mFVaSFWBdA2dpI7A4OPoa8n1j4geNJNE8aeItKGjRaT4eluEitLq2lkmu1tgTOTIsiiLO1lUbGxjJznAh+F+sQeJPjR4y1eBHSC+0HRLqJZBhwsizsAw9cEUpcN1qOFrYirNe4r6a63jo/lK+lxrGRlOMIrf8tdfwPYZLyGGRUeZEkbojMAT+FRjUrU35sPtMJvPK8/7PvHmeXnbu29cZ4z6189/E5dN1D4+avpt94KvvGc9x4Wtls47W2R1t5DcXY3NM7KIM8YfIPGR0qr4Hs9V8I/Gq0g17ULVtY074Xwi7vbyQLCsiXsm55Hz90Y5bPQE169PhOnUw3tlW9/kU1Gy1uk9NW7K9m2lrtcwePfPy8ul7XPpfk+9L0zXgGlfHvWJta1qxW4tNZt4fCl14gs9QTRrvT42lgZF2qJmInibzFIdCB8vU5BGrZfFzxPoniDwND4lh0yaz8V2F3dLDpsMiyWbw24uMGR3IlBTK8KvPtXnVOEMxhvy3auldpuyu7JpbWe9vyNo5hSltse1DNHrXhPgH44eIPFz+Fb/APs+4utM1ubEtrb+G9RhFlDIrNHIbyQeTIF+QMwAB3ZXpXu3vXh5tk+JyeoqWJtd9r9HbrY6aGIhiE5QCiiivnzrDq1dt8If+RwX/rg/9K4kAZzUS/Ei++GeoW+pWPhm/wDEruHiaGxUkxjg7mwCcfhX2PCT5c7w0nspI8fN7fUqnofWVPr5c/4bI8Qf9En8Qf8AfuT/AON0f8NkeIP+iT+IP+/cn/xuv7Z+v4fv+DPxm6PqKvlf4V/8nyfEj/sFN/OzqX/hsbxB/wBEn8Qf9+5P/jdct+zT4qn8b/tYeNNbuNMn0aa80eR2sbkHzIsSWq4OQOuM9O9clbE061WlGL6/oFz7M7mloor3hhXkn7S3PgOy/wCwlH/6Llr1uvJP2ls/8IHY4/6CUf8A6KloA+aqKKKAPsz4crt8B6B/15RH/wAdFdJXP/D3/kRfD/8A14w/+gCugoAKKRulGaAD0rzv41/8izbf9fK/yavQ89K87+Nn/Is23/Xyv/oLV8nxVLlyXEt/yno5f/vdNeZ2ug/8gWy/64J/6CKv15Tp/wAXHtbK3iGi3LiONV3BuuBjPSrH/C4pP+gHdfn/APWrzcLxZlUaEIubukvsvt6G08txLk/d/Ff5npteXfHD/jw03/rq/wDIVJ/wuST/AKAdz+f/ANauS8feNG8VW1qhsJrMQuWzIeGyPpXy/F/EuXYzJcRQoTblJK3utdV3R6WV5fiKWMpzlHRPuu3qcX096Wk9D3pa/kln6oFFFFIBGbA5PFAIOMcivGvGEMXjr9obSvCGsBbnw7p3h1tc/s/JCXVy1z5AMy5w6IqkhcfefJzwBo+INR/4VrqnhXwV4K021srzxHc3k0cl0XktLRIYhJK3lhwTklAEQqPmJ4Ga+z/sH3aVNT/ezjz2t7qjZu7d90lfReW55rxVuaTXup287+nqeqdRmlzkV8+eJPjt4t8PNf8Ah8afpF54psPEmlaI8y+bHZ3Ed6iujquS0bDO05LgYzz0qXx940+INr4M+J+kT3WkWeuaJo0eqW+p6fFMitbypcgqFMm5JlNu2H3Ecg7e1dsODsdJx55RSk1bXo3FXtbb3l567bmbzClZ2T0/4P8Ake/UV4dr3j34h+Hda+GvhSGbw9ea34mjvzPfS2s6QRCCKORGCeaWJwzZBbk4wRW5qvjPxre6l4oXQ00SCz8N+XHcC/hmd72X7PHO4Qq48pdsgUEhznnGK45cMYmLj+8haSund7c3Knt1ei/GyNPrsLbP+lc9P+2QG8Nr50ZuQgkMO4bwhJAbb1xkEZ9ql3Be/FeHeAfFEHjX49Qa/ao8VtqfgDT7yNJB8wV7ydgD+dcr8XptFm/aaFjr/h7VPFNjN4KAi0/TbKS5kWVr518wbP8AVHbkeYSuMjkZr1KPCbnj3gqlRpqmpvS7T6rdLT1MZY61L2qXWx9Km+t/tgtPPi+1FPNEG8bymcbtvXGcDNT8+lfL/wAJtL8TeF/i54UtPFt2s3iK1+HNx9pmuJw4U/2ghRZJBwSq7VZgTnaTk9a7bwf8aL/V/HlxoL6no2v27adc3sd1pFncRQxPE6DYJnZo7hSJB80ZGCpyOeJxvCFajK2EqKolHmb6bvZ7W0vq0Onj4tXmra2Pas0d68Q8H/FnxhdT/D6816DRjpnjJPKgt9PjlWe1l+ztPuZ3cqykRsNoUEZHJwc53hX9ojUvFV9pt/YWsl/o+oah9mjsLfQb/wA5IDJ5YnN0V8ggY3kAYAON2RzwvhPMVzWs1Fbp3W7Vtt7p76abmn1+jpvr/wAD/M+gKKKK+J20PSCiiipHqdb8Kv8AkdrP/ck/9BNfQA6mvke6+JknwpvrLWU0O811ctG0VpxtyuMk4OOT6Vd/4bof/onesf8Afz/7Cv6w8NMRToZM1N7yf5I/KuIpL658kfV1FfKX/DdD/wDRPNW/7+//AGFH/DdT/wDRPNW/7+//AGFfrf1/D9/wZ8tdC/tRf8nD/BX/ALCUP/pXDX1V6V8DeMPjQ3xl+PHwpuToN1oP2HV7aPbdNkybrmI5HA6Yx+NffXpWOCnGpUqzjs3+gC0UUV7Azyz9ov8A5J+n/X7H/wCgtXzFX09+0Yf+LfJ/1+x/+gvXzDQAV9hfCfj4c6B/16r/ADNfHtfYnwrG34d+Hx/06IaAOsooooAKa33aN1IehpPZgeXeDMf8LQ18/wCy/wD6GtepV4dF4mbwv8QtcuRaSXZkdk2R9R8wOentXR/8Ljk/6Ad1+f8A9avyPh7iHL8vw9WhXm01Un0b3k+qR9JjMDXrTjOnG65Y9V2R6dTW+6a80/4XFL/0A7j8/wD61N/4XHL/ANAK6/P/AOtX08uLsps/ff8A4DL/ACOD+zMV/L+K/wAzzPxN/wAjFqn/AF8Sf+hGszpVnVbz7fq13cFGiM0rPsbquTnFVjya/i3MqiqY2tOOzk3+J+vYaLjQhF9kFFFFeUdQZ9DTfMG7Gef1rP8AEWpvoug6nqMcXnyWltLcLH/fKoWx+OK8l+D/AMMNE8UfDnw74n1+OTWvE+rw2+t3OszSPHcrM+2VUR1IMcafKgRcKQvIwTX0uBy2lWws8XiJuMU1FWV22033WiscNSs4zVOKu7XPbKPxrw27+MPi2/8AB2tfEDRLXR5vCOly3W3T5kmF5eW9tI8c0ol3BY2/duVQo3C8n5uLXiz4neMbe88fyaJFog07wjHFesb6OV5LqE2a3DxDawCN1w5yBkfKcZPpx4Uxsnbmiuj12d0uV6b+8vLz0Zh9fpLo/uPZ880cDg96+fdJ8aeL/F/x98MzaTqlvZeGtT8Hw6ydMuo5XxG88e7hZAvnYbAfGAMgg9atD42eKdH+HviTx5rVppf9g6fPd2VpZ2iSfaZpkvTawOzFtqKWwrDBPG4HnaNq3COMp8ijOLclHS9neTaUdt7oUcwpy1aaWv4dT3dmCpuPQU23mS4gSaGRZYnUMkiHKsDyCD3FeY/8JR4t0fX7fQPFP9kXsWsadeTW9xpUUsBtnhRS0bh3feGD8MNv3Tkc1L4Ddk/Zu0FgSrDwrEQw65+yCuCtkE8PRVSc07yilbVNSvr0ejVrWNI4tTk4xWyb18rf5npe4beDk0y3uI7uFJYZUniYZV4zlT7givlv4H6YuuT/AAp1Pwz4d1jRZLHTIz4h1i5tJLO0v43syu3DY+1M022QSDIGN2Tla6/wv41k8GfA/wAFzR63pWjSTQ7R/aFtLdyTYJ+SGCJleRskZ25wO1e1j+Enhqjo0KvNO6VmrWvzbpXeyuvJnNSzDn1lGytf8v8AM96ADfUUcDNeBaL8cvFPja3+H0Hh+10qG88RDVEuri+hm8uNrNlTekeQ2CSTsbBxgEg5rT1z4za94W8GQHU7WzfxDJ4gbQGuLK0uLi3UhHl88QR7pWHlxn92CTk/ewCa87/VLMVNUly8ze19VZtX22un5+Rt/aFG19bf8N/me1Y6UfWvPvhJ4+1PxpHrUWpWjD+z7lY4NQ/s65sY7yNkDBlhuAHUqcqeWBIyDzgeggivmsfgauXYiWHrfEu3md1Koq0FOOwUUUV5huFe9/CX/kSLL/fk/wDQ2rwTnmqum/tZy/D+F9BbwNqt8bSV1FyrbVkBYncBtPHPrX7P4X1Y0c0qSltyv80fG8TSX1aC8/0PrqivlL/hup/+ieat/wB/f/sKP+G6H/6J5q3/AH9/+wr+o/r+H7/gz8zuj3j41f8AJHfHP/YDvv8A0neuF/Yz/wCTffD3/XS5/wDR715F4+/bKfxR4H8RaP8A8IJqloNQ064tPtDuSsXmRsu8jZ0Gc/hXrn7Gf/Jvvh7P/PS5/wDR71z060K2LTg72X6ge4UUUV7Ywr5A+MH/ACUnXf8ArsP/AEEV9f18f/GD/kpOu/8AXcf+gigDj67r4H/8lQ0b/tr/AOiXrha7v4Hf8lO0b6y/+inoA+gvil/yKkn/AF1T+deNV7N8U/8AkVJP+uqfzrxmvYwv8P5ng4z+KFFFFdpwBR3FFFAHxhdRa9d6Ba2fiBNKtPhpdfEG8WXVrNZG1OzmGrTtEzMRsiRpwsZlXlVfHG416LceLvE3iyw+MOtf8Jfc+FpPB99dWWnWdvHB9nRILdZVnnEkbM/mMxzggbVG3nmva7rwD4evvDd74fuNHtZ9FvZZJ7iykjBjkkklMrsR6mQls9jyMVleIPgz4H8Wa6us6v4Y07UNTAUNcTQ5aUKML5nZwB03ZxjjFcyptHZ7aMt0cZ8KfidrHinXL6XXLmOygbwjoutC0ZVjS3mnS4NwwJG7aCqAgk42jpzXF6FJqnjbxD8Adav/ABLqEOo6n4dvJ5ngECh5PItncgNGeXycgcYUYxya9x8R/Czwj4w1ix1XWfD9jqOoWKhILiePLqoO4KT3UEk7TkZ5xmotW+EXg3XdM0LTr7w7ZXFnoW0aZGUx9kCgKBGRyBhQCM4OBnNP2cu4vax6I8IufiL8TvG2rfEV/DWm6+99oGtT6XpUenyaWmnDyVRl+0rcyrMxkySzKAArrs5Br0/wvdeIvE3xn8bQ3PiK4h0HQJ7OO10iCCILI0tpHI/mSFSzKCSQoI5Y5JGAvSeIPg54J8Ua0dX1Xw1YXmovjzZ3jwZsAAeYBgSYAAG7OK6Wy0Sw0/UNQv7a1jhu9QdJLuZRhpmRAilj7KoFNQlfVilUi1ZI8r/au8N6VqfwR8Y6teadb3epabol6LK6mjDvb+ZGA5Qn7pIUAkc4yOhNeq6L/wAgex/64R/+gisbxt8NPC/xIgt4fE2jW2sw2+/y47oEqu7G7jPfaPyrQ8MeFdK8GaPDpWiWMenadCWKW8OdqliSevua05XzXMeZciia1FFFWZhRRRQB13wu/wCRsj/65P8Ayr2qvFPhb/yNkf8A1yf+Ve114uK/iHvYP+EfLv7QX/J0Pwd/67f+1RX1Afu18v8A7QX/ACdD8Hf+u3/tUV9QH7tfP4X+JV9f0R6B5Z/zWwf9cv8A2nXqVeW/81sH/XL/ANp16lXzvDH/ADF/9fZfoenjv+XX+FD6KKK+3PLCiiigAooooAKKKKAEpsjBVyTgU6obm3juoXilRZI3G1lYZBHoRUSvZ8u4GFqniVtJuAJLaSaGTAjeD5yXz90jt9enWtLR7i6urNJLuOOGVif3aNu2jPAJ9cYz71yV5puj6XrUsNxoUcls0aNG8NlvAbJ3AkD6V1OhfY/7Pj+w2/2W352x+UY8cnPy4GOc18zgMRiKuKnGtNWV9Fe6d/TVdjrqRjGC5V8zjPjh/wAi7Zf9fa/+gPXf2UY+yxfL/AK4H43/APIv2X/X2v8A6A9egWX/AB7Rf7grhwMVLPcXzfywN6v+6U/V/oS+Wv8Ado8pP7op9JX2Xs4fynnXPJPjkFVtHwMcy/yWvKx7V7F8YNDv9ZbTPsVpJc+X5m/YM7c7cZ/I15x/wg+vn/mFXH/fNfyPx5leNr55VqUaEpRdtUm1t5I/TsjxNCngoxnNJ3e78zE2mjaa3P8AhB9d/wCgVcf98Uf8IPrv/QKuP++K/O/7EzP/AKB5/wDgL/yPoPruG/5+R+9GH+OK4vx18L7DxvdW98uo6poOsW8Zhj1XRrnyLjyiQxjJIKspIzhgcHpjJr1D/hB9e76Xcf8AfFH/AAg+u/8AQKuP++K7cJgM5wNT2tCjOMv8L/y1M6mKwlRcs6kWvVHkWr/BnS9W0XS7MatrdrqWmNK9rrsN8TfoZf8AW/vWDAh8DKkY4GAMDCw/BXQYtO0K1aW+mm0nV49cF5PPvuLq8SNk8yZyDu3BzkDA6YwABXrn/CD69/0Crj/vij/hB9e/6BVx/wB8V6iq8ScvKoTtr9l9d+m2r021MOfAXvzx+9HnOp/DjSdY/wCEpW5+0OniO2S2vVWTbhVjMYKEDKnBzn1AqtoPwxtdF1HQdQuNW1XWNQ0a2ubWG71K4WSSVJ3Rn8whRkgxqBjGBxg16f8A8IPrv/QKuP8Avil/4QfXf+gVcf8AfFc0YZ+qbpeznyv+6+3L27aFe2wXNfnj9673/M8a1z4F6Lr2u3t82pazaWGoSedqGi2t6Usr1yAGaWPGfmAUEKwDbeQcnPT6T4H03RfFmq+ILbzVvdRt7a1ljLDyljg37Nqgcf6w55PQdK73/hB9d/6BVx/3xR/wg+u/9Aq4/wC+KqquIK1L2NSnNxta3K9tPLXZeeiCNXAxfMpxv6o4iDwnZW/jC88SAym/ubKGwkUsPL8uKSR1IGM5zK2eewrH1r4UaD4i8U6lr2oJcTXOoaG3h65hEu2J7VpGkPAG4NlyMg9Pzr0//hB9e/6BVx/3xR/wg+vZ/wCQVcf98VnSo59Rn7SnTqKVlG9nsrWW3khutgpLlc4233R4xY/AfSbW8uLu61jW9XvJ9HuNCe51C7WRxaTFCVAChQymMYbHOTu3cY27r4X6Peav4O1CVrhpfC0U0Nkm9djrLAIG8wbfm+Udsc16b/wg+u/9Aq4/74pP+EH13/oFXH/fFddSrxJUkpyhO6uvhfVWfTqmRGeAirKcfvR5P4T+Edp4L1KGXTtc14aXbhhb6HLfb7OHK4wqld5A5IVnKgngDjHd9uTW7/wg+vf9Aq4/74oPgfXv+gVcf98V52MwmdZhNVMRRnJ9+V/5GtPEYOkrQqRXzRhc+tHNbv8Awg+u/wDQKuP++KP+EH13/oFXH/fFef8A2JmX/QPP/wABf+Rt9dwv/PyP3owzha7X4P4/4S9ec/uH/pWN/wAINrvfSrj/AL4rrPhj4Z1XS/EyzXVjNBF5LDfIMDPHFfV8K5TmFHOsNUqUJKKkrtxaX32PKzPF4eeDqRjUTbXdHsyj2pcD0pF6GnV/atkfko3aPSvlj4Wj/jOT4j/9gpv52dfVFfLHwr/5Pk+JP/YKP87OvLxn8Sl/i/QD6oooor1QCvJP2lh/xQtl/wBhGP8A9Fy163Xkn7S2f+EDsv8AsJR/+i5aAPmqjGaKRulAH2j8P/8AkRfDv/XhB/6LFdBWB4C/5Ejw9/14Qf8AosVv0ARsRtJJxWBq3iIaRcDz7eRrZl+WWEbzv5+UqORnjB/lW3dQR3VvJDKu+ORSrL6g8EV5zqeg+HNG1hra50VmtWiV43hilkAbJBDYz7Y+h9s/PZtiMTQhF0LK7td309UkzqoQhN2nf5f8Odzo17c31uZrm3+ysxykZILBe27Hf2rjvjZ/yLNt/wBfK/8AoLV03hGPTo9OYaXA9tbb/uSRshz34bmua+Nn/Is23/X0v/oLV5OeSlLh+s5yu+Xff9DqwVljIW2udloUanSLL5f+WKf+gir/AJaddoqloP8AyBbL/rgn/oIrQ9K+lwdOn9Wp+70X5Hn1G+dkexf7orzD43Iq2GmkDH71/wCVeot09686+MGkXmq2NgtnbyXDJKxbYM4GK+V40wzrZFiIUoXk0rJK73R6eUzUMbTlJ2Vzxajn1rb/AOEL13/oGXH/AHxR/wAIbrv/AEDLn/vk1/HH9jZj/wBA8v8AwF/5H6x9cw//AD8j96MTmjmtr/hDdd/6Bdz/AN8Gj/hDdd/6Bdz/AN8Gj+xsx/6B5/8AgL/yH9dw3/PyP3o818afDGw8Zalp2rfbdQ0PXNPVo7fVdJlWO4EbEF4m3KyuhKj5WUjuMGs68+DNlqFhpH2nXdbm13SbuS8svEL3EbXkUkgKyAZjMexkOwps24xxnmvXD4L13/oGXP8A3waP+EL1wf8AMMuv++TXu0ZcQYeEKdOnNKO3u7LXS9r21em2r0OSU8FNuTnG78/+CeOf8KJ0N7eA3d9qd/qK67a+IbjU7iWM3F1dW5HlLJhAojVVVNiKoAHGCSa3ta+G+ma9deJZrx7hl8QaXFpF2iuABAnn4KcZDH7Q+SSei4xzn0b/AIQzXf8AoF3P/fBpv/CG67/0C7n/AL4NaVK/EdSScozuv7r7p6aabL7hKWBSspR+9f5nlGn/AAgs7fWPB2rXutavq+o+Fo7qOznvZIiZFniWJhLsjXdhUGCMHOSS1N8RfB2z1zVtYvYNc1nRY9aWNNTtdOmiWO62KEBJeNnRigCExspKgCvW/wDhC9dH/MLuf++DTf8AhDdd/wCgXdf98Gj2vEPtFV9nK6Vvg0tfmta1t9fJj58Dbl5429f+Cee6X8OdJ0TxcviKzE0Fyukw6KlspXyEt4pHkTAxndmQjOcYA4707/hX+nf8LIPjbzLj+1jpI0by96+T5Hneduxt3b93Gc4x2716B/whmu9f7Luf++DTv+EN13/oGXOP9w1zSjn0puo4TbceV+6/h7bFqrg0klOO991uebar8MtJ1rxnL4lu3uHu5dFm0GSAOBC1tLIsjHAG4PlcZDYwTx3rM8O/Bu00HUNPvJNe1nVpdP06TSrRL2SHZDbvsyAI4ky37tfmbLepNetf8IXrp/5hV1/3wad/wheu/wDQLuv++DW8KvEVOn7GMJ8trW5emum3myJSwMpcznG/qv8AM8ttvhLpNpZ+CLdLi8MfhF/MsDvTMh8h4P3vy8/K5+7t5A+lJoXwv/4Rq+U6b4i1m10ZbprsaKrW5tVZiWZATD5oQsSdokx+HFepN4L13/oGXQ/4AaX/AIQvXf8AoGXX/fBpc/EHK4unNp3veN9231W929d9Q58Do+eP3/8ABMSitn/hDdd/6Bdz/wB8Gj/hDdd/6Bdz/wB8GvB/sfMv+fE//AWdX13Df8/F96MXn1peeOa2/wDhC9d/6Bd1/wB8Gm/8IXrn/QLuf++KP7GzH/oHl/4C/wDIf13Df8/F96NP4U5Pjazz/ck/9BNfQG0ema8T+G/hnVdN8W2txc2M0ESq+53XAGVNe3L71/U/hrhquHyeUK8HF8z0aa7dz804gqQq4tSg01ZbBtHpS7R6UtFfrXLHsfNHyj+1AP8AjIb4Kf8AYTh/9K4a+ra+U/2oBu/aI+Cg6f8AEyhP/k1DX1YK83Cr99V9V+QC0UUV6gHln7Rn/JP0P/T7H/6C9fMVfTv7Rn/JPU/6/Y//AEF6+YqACvsf4Xrt+Hvh8f8ATnH/ACr44r7J+GYx8P8Aw9/15RH/AMdFAHS9arXk7Q27tGqvIFJVGbaCccDParBrnvFnh2w1ayluLmzS4ngicx79xwcZ6DrXHip1adKUqSTa7v8A4DLglKSUtivD4qnv5ktrSxkFyrATfaBtSHnnJ/iOOmK6jqK810e38Js1o/8AY1xDd5U/NazfK/HfGOtelfwnFeRlNevXpylXkm/K+n3pHRiIQhJKCa9f+HZ5b4N/5Khr+eflf/0Na9S8lP7o/KvL/Bv/ACVDX/o//oa16kK8fhOEZYOq2v8Al5P/ANKZ1Zj/ABY/4Y/khPKX0prRptPFS0xvun0r7SVOFn7p5d2fMvib/kY9U/6+JP8A0I1mZC11PiDwjrM2vajJHps7JJO7KypwQWODVH/hDNd/6Bdz/wB8Gv4XzTKMfLHVpRoSacn9l9/Q/ZcNjMOqME6i2XVdjD49KOK2/wDhDdc/6Blz/wB8Gk/4Q3Xf+gXc/wDfBry/7GzH/oHn/wCAv/I6fruH/wCfi+9GKylsg8g9jXmumfArT9CuwukeIfEOk6CLk3K+H7O8RLJSSSyr+78xULEsUEgXJ4AHFezf8IZrrf8AMLuT/wAANN/4QvXf+gVdf98GvUwlHO8FGUKFKaUt1ytryeq3XR7oxnXwdRpynG680eL33wC0e+l1G3bV9aTw/qN6b+88PR3KfYppWYs4OYzIEZjuaNXCk9scV0N/8M9Nvl8ZrJNdKviuD7PfbGUbF+zi3/dfLwdgzznn24r0f/hDNd/6Bdz/AN8Gnf8ACF67/wBAu5/74Nds63EVRpyhPT+75p9tXdLV66IzU8DHaUfvX+Z5JZfBnS9J1bwvqem6lqdhe6DpUeiJJHJE32qzQoRHMGQjrGDuQIck84wBeh+E+hL4Dv8AwhdRzX+jXstzLMtw437p53nbDADG15DtI5G1ecjNel/8Ibrv/QLuf++DTv8AhDdc/wCgZdf98Gpq1eIq3Lzwno017r3TbWtujbsCngVtKP3o8s0P4Vw6bqg1HU9f1fxJfRWLWFrNqkkJ+zRP/rNgiiQFnwuXYFjsAzjrt6V4Ps9I8D2nhaF520+2sF05JJGBlMaxiMEkDG7A9MZ7V3H/AAhWu/8AQLuv++DR/wAIZrv/AEC7n/vg1jiI57ire1pTdmn8Nkmr2skrLd/eVGrgqfwzj96ON8K+G7fwf4W0jQrN5pLXTLSGzhkmIMjJGgRSxAAJwo6AD2rkV+CenWkPhv8AszWNW0m80K3ltLa9tXgaV4ZCpkRxJEyHJRTkKCMcV69/wheu/wDQKuv++DR/whmuH/mFXR/4Caqj/b9GpKtCnPmk7v3W7uzWt12bCVTBSSi5xsvNHknhT4J6J4RuPDk1rdajNLoLX72zXM6uZDeOHmMh25bBHynI981c1v4U6Vrun3EElxeWtw2q/wBsQXttIqz2t0F2h4yVI6ZGGBBDMDkGvUf+EL10f8wu5/74NN/4QzXf+gXc/wDfBrR1eIZVfbOE+bvyvu327tk8+B5eXmjb1X+Zxnhrw/caDFcC71vUddmmkDmbUTEGQBQoVVijRFHGeFySTk1tfhW1/wAIVrnbS7n/AL5NH/CF65/0C7n/AL4NeVicuzXFVHVq0JXf91r8EjeGKwsFyxqL70YnNHNbX/CG67/0C7n/AL4NH/CG67/0C7n/AL4Nc39jZj/0Dz/8Bf8AkafXcN/z8j96MWve/hM3/FEWWeu6T/0Y1eP/APCGa7j/AJBdz/3zXs/wzsrjTfCVpb3MLwzKzkxsMEZdiK/X/DLL8Xhs1nOvRlFcr1aa6rufJ8RV6VXDRUJJu/R+R1u0elLtHpS0V/UPLE/OzifjV/yR7xzx/wAwK+/9J3rhv2M/+TffD3/XS5/9HvXdfGv/AJI945/7Ad9/6TvXC/sZ/wDJvvh7/rpc/wDo9681/wC+R/wv8xHt9FFFeoMK+P8A4v8A/JSde/67j/0EV9gV8f8Axe/5KTrv/Xf/ANlFAHH13nwNXd8T9I9vNP8A5CauDr0D4DqG+JmmHuqSn/yG1AH0P8QdLu9X8Pvb2cJmlMittUgcA+9eX/8ACAa//wBA1/8Avpf8a93x+VGPeuinXlTXKjjq4WFaXNI8J/4QDX/+gbJ/30v+Ncxr1xJ4Z8WaF4bvraaPVda3/ZIlwQdoycnPFfTvSvm744f8nRfCD6T/ANawxOYVaVNSja91+LMfqNPuzb/4QHX/APoGyf8AfS/40f8ACv8AX/8AoGyf99L/AI17sKK6/rU+wfUafdnhP/Cv9f8A+gbJ/wB9L/jR/wAK/wBf/wCgbJ/30v8AjXu3FHFH1qY/qNPuzwn/AIV/r/8A0DZP++l/xo/4V/r/AP0DZP8Avpf8a924o4o+tTD6jT7s8J/4V/r/AP0DZP8Avpf8aP8AhX+v/wDQNk/76X/GvduKOKPrUw+o0+7PCf8AhX+v/wDQNk/76X/Gj/hX+v8A/QNk/wC+l/xr3b/PWij61MPqNPuzwn/hX+v/APQNk/76X/Gq114T1SxkiS5gW3eU4jWSZFLn0GW56j8698c8Y7V5p8VePEPhf/r4P/ocdeLnGeVcswrxEYpu6VvVpHThsrp4iqoOTW/4K5y//CA6/wD9A2T/AL6X/Gj/AIV/r/8A0DZP++l/xr3SP/Vr9KdxXsQxtSUVI5fqFPuzy34f+FNW0nxElxd2bQwiNgXZlPJHHQ16nRjFLWFSo6j5mdtKmqUeVHy7+0F/ydD8Hf8Art/7VFfUB+7Xy/8AtBf8nQ/B3/rt/wC1RX1Afu14+F/iVfX9EbHln/NbB/1y/wDadepV5b/zWwf9cv8A2nXqVfO8Mf8AMX/19l+h6eO/5df4UPooor7c8sKKKKACiiigAooooAKRqWkagDiteK3mty213q02lwRxI8QglERcnduOSOQMDj3rY8KXkl5pYkkm+0hZHRJsD94oYhW445HpWJ4r1A2uqLFBcedcmMEWLWnnqcnAbIxt/E4rofD81xc6bG91aLZTcjylYMAASB09v518bgpp5lUhfVXvu93pd3srdjuqL90n6HHfG/8A5F2y/wCvpf8A0B69Bsf+PeL/AHBXn3xw/wCResv+vtf/AEB69Bsf+PeL/cFRgP8Ake4v/DD9TSr/ALpT9X+hYooor7U80btG7NG0DtVDVNSOn+XiPfuz3xjGKpf8JK3/AD7j/vv/AOtXNOpTi7SA3Ngo2CsP/hJm/wCfcf8Aff8A9aj/AISZv+fcf99//WqPrFILm5to2j0rD/4SZv8An3H/AH3/APWrgfjt+0BZ/Af4U69461LSp9Ts9JWJntLVwJZDJMkShSePvSCqValJ2QXPW9o9KNo9K8mh/aE0UfBs/Em8t5tP0WLS21S4huPlnhCqS0RU4/eBgUx3bA71J8M/jpD8QPAcfiW+0mTwsVuLm0urHUrmPfazQTPDIjOp2nDIeQcVXtKdrgeqbBRsFcTqvjy9sbzRY7LRm1O2v7nyZ7mK6jRbSPyncSkNy4JULhcnLA9MkaK+M7ZriOANB50oYxx+cNzhThiB3wSM+man21ILnS7aNgrg/D/xX0/xJrHiHTbSCQXOh3gsbsSEAeYYY5vl9RtlXnjnPpWvb+Mbe6mmhgMMs0JAljjmDMhIyNwHIyDnmm61Nbhc6XYKNgrml8aW8lwIFaFpygk8tZgW2nIDY9Mg8+1Ivja0a+NiJLc3qoJDb+ePMCngNt6496XtqQXOm2CjYK5mXxpbRXEVvJJbxzzFljjacBmK8kAdSR3x0p03jKCG4ht5DDHPNny4mmAZ8DJ2jvgc0e2pBc6TYKNgrmn8aW8d4lo7QrdOpdYTMA5UEAkL1I5H5irP/CTN/wA+4/77/wDrUvb0gubmwUbBWH/wkzf8+4/77/8ArUf8JM3/AD7j/vv/AOtS+sUgubm0Ubaw/wDhJW/59x/33/8AWqzp+tG8uPK8rZwTndmqjXpydkFzU20tFFdQCV8r/C3/AJPk+I//AGCm/nZ19UV8r/C3/k+P4j/9gpv52deZi/4lL/F+gj6poqjql49jpt1cxQSXcsMTSLBDjfIQMhVzxk9Bn1ri4fjLoWrNoVvorTa3favteK1tVG+CHfsklnBx5aoQ4IbBLIVAJrvlUjHRsZ6FXkv7S3/Ii2X/AGEY/wD0XLXrK/dFeSftLf8AIj2A/wCoih/8hyVoB810UUUAfaPgL/kR/D//AGD4P/Ra1v1g+A/+RH8Pf9g+3/8ARa1vUANbkdK5HV7qWbxCbOTUjpsCW6ypsCBpWLMG5YHgYHT+9z2rra4jxpcJHeRxtcQzuyZXTZbXzy/P3ht+YenPHFfP5zLkw3O3omr+f9eR00FzTsbXhS8kure5R7j7asMxjS4wB5gAB7cZBJHHpXNfGz/kWbb/AK+l/wDQWrqvC91PdaeGn0/+zWBwsO4H5ex46fSuV+Nn/Is23/X0v/oLV4ecO/DlV3v7v9b6nZhP99h6naaD/wAgWy/64J/6CK0Kz9B/5Atl/wBcE/8AQRWhX1+D/wB2pei/I86p8TFprKG606qGqaidPVCE37jjriuqUlFXZmXPJWk8pP8AJrF/4SRv+eC/99//AFqT/hJH/wCeI/77/wDrVze2ohzG55a/5NJ5af5NYn/CSN/zwH/ff/1qP+Ekb/ngP++//rUe2pCubflrR5a15z8VPjVp/wAI/h7rvjHWLWafTNHtzcTpa4aRlyBhQcc5I6mqvg34+aR4y+GKeOYLW6sdKWCeW4gvYzHcWzQM6TxyIRkOjxupHqKr2lJq4+Y9Q8paPKWvKvg/+0Bp3xm8Iya/pul3umQxX1xp8trqaiKaOaFyjqQM9xXRa54+vNN/s42Wiy6uLq7jt5Ps88a+RG2czHcRuVcchctzwKTqUk7NfgHMdn5Sf5NHlp/k1gjxR0HlJk/9NP8A61Zll8SrHUPEGpaLCmdQ09IZJ42JACyBimDjn7pp+1pbiudl5a/5NJ5Sf5NYf/CUHdt8ld3pv5/lTV8WBuBHGT7SCj2tELm95aUeWlYX/CU/Nt8pA393fz/Kj/hKcEKY0Dc8eZzx+FR7Wl/SC5u+Wn+TR5Sf5NYf/CTN18lR2+//APWobxR5bANEik9Az4P8qftqP9ILm55S0eUn+TWL/wAJI/8AzwX/AL7/APrUf8JI/wDzwX/v5/8AWp+2ojubflr/AJNHkrWH/wAJI/8AzxH/AH3/APWo/wCEkf8A54j/AL7/APrUvbURXN3ywO1OrHsdaa8uViMQXIJzuz/Stit4SjJXiMKKKK1A+U/2nv8Ak4r4Lf8AYRh/9Koa+qxXyv8AtML5n7RvwWXP/L/GfyuYj/SvqK4mMMMkgRpCqlgi9WwOg968vC/xa3qvyAnorgF+Mnh64sNGltJZry+1af7Pb6VHGftiurYlEkR5j8rDby2Au3GckZ75fuivQjOM/hYHln7R3/JP4/8Ar9j/APQXr5jr6c/aN/5EBP8Ar9j/APQWr5jrQAr7M+G67fAHh3/rwhP/AI4K+M6+zvh4MeAvDuP+gfb/APotaAOhPaqGrzSWul3k8K7po4XdFxnLAEir3pVW/YLZzkzeQBGx87jCcfe544681z1r+zlZ20ZUd0cRJqE1jZ2l5DrZ1C4mliT7ORHtl3MAwUKMjAJPB7c13q5ZPSvO9F1OT+0kezs4NaViFe+it/s+MEgncflbH+z716L/AA+gr5rI5qpCcou62truut33OrEJxaTPL/Bv/JUfEA/2ZP8A0NK9U9K8r8F/8lU8Qf7j/wDoa16p6VycI/7lV/6+T/8ASmdOZfxY/wCGP5IWk20tFfcHlDPLDdaTylrIuNfaGZ4xCDtYjO7/AOtUf/CSP/zwH/fX/wBauX2tJaBzG35Sf5NHlJ/k1if8JI//ADxH/ff/ANal/wCEkf8A54L/AN/P/rVPtqIXNry0/wAml8taw/8AhI3/AOeA/wC+/wD61eaa1+05oWg/GjRvhrd6ffrq2qQCWG+EY+yI5SZ0id88O620xUY52YpqpSlsK57N5Y9KXy1rxz4k/tLaJ8L/ABh4L8OanYXtxfeKr4WNq1pGXjhYsqhpW6KCzADuecA4r0T/AISgbiPLTPpv5/lR7SlvYLm/5aUnlJ/k1x2k+Oby+vdWhutFl06OzuBDBcTToy3abFbzVCklRlmXDAHKk4wRTfFHxLsPB/hjVtf1MeXpml2k17cyIdxWKJDI5Axydqk4o9rS7Dudn5a0eWtc9b+MY7m2iuI0QxSAFWL4zkZHanjxRuAIjQqeh8zrR7Wj2/AVzf8ALX/JpPLT/JrBbxUFTeY4wnTd5nH8qX/hJzt3+Suz+9v4/lR7aiFze8laTyk/yaw18UFs7YVbHHD/AP1qT/hKf3bP5SbF6t5nA/HFL21H+kHMbvlJ/k0eUn+TWEvicyKGSJWU/wASvkfyp/8Awkj/APPBf+/n/wBan7aiFza8tKPLSsT/AISR/wDniP8Avv8A+tR/wkj/APPEf99//Wo9tRC5ueWKVV29Kwv+Ekb/AJ4L/wB9H/CtXT7k3duspXaTnjOe9XTqQk7RGWqKKK6AOJ+NX/JHfHX/AGAr7/0neuF/Yy/5N/0L/rtc/wDo967v42f8kd8df9gK+/8ASd64P9jP/k3/AEH/AK7XP/o968uX++x9H+Yj3Giuc1zxtpnhvWNH03U5Htn1Z3htbiRCIDMoBETP0V2G4qDjdsbHIxUfhLx1pvjg30mj+dc6fazeQmo+WRb3LjIfyX/5aKpBUsOMg4JxXoe0jflvqM6evj74uZ/4WVr/AP13H/oIr7Br4++Lv/JSNe/67/8AsorQDkK9D+AYz8TLHjOIpT/44a88r0j9n4Z+I1t7QSn9KAPqiiiigBK+bPjd/wAnRfB76XH9a+k6+bPjd/ydF8Hvpcf1rzsd/DXqvzQH0mvSlpF6UtegtgCiiimAUUUUAFFFFABRRRQA31rzH4rf8jF4W/6+D/6HHXp3rXmHxW/5GLwv/wBfDf8AocdfGcWf8i1/4o/mj0sv/wB4Xo/yZ6dF/qxT6ZF/qxT6+up/BE80KKKK1A+Xf2gv+Tofg7/12/8Aaor6gP3a+X/2gv8Ak6D4O/8AXb/2qK+oD92vKwv8Sr6/ohnln/NbB/1y/wDadepV5b/zWwf9cv8A2nXqVfO8Mf8AMX/19l+h6eO/5df4UPooor7c8sKKKKACiiigAooooAKa33adSN0oA47xBpU3iDUmt1lsooYo1LSSW/mzDJP3ScBRx71r+GbWGx00W0N1JdrG7qZZm3Nu3HI/A1x+r6Npen615S6dLPG7wpNIbt1EZkcquBnLHJJ/AV13hhLSLTWhs4Ps8MM0kflgk8hyCc989fxr4zLnzY6c5JKeqerfXppY76ulJJPTTojkvjh/yLtl/wBfS/8AoD16BZ/8esP+6P5V5/8AG/8A5F2y/wCvpf8A0B6gg8UeN1iQJoMbLjAOeo/76rw5ZrTy3PcTz05SvGPwpv7ztWHlXwlNxaVm92l27np/NHPpXmn/AAlPjr/oAp+f/wBlR/wlPjr/AKAKfn/9lXtf604b/nzV/wDAGcv9n1P5o/ejr/En/Lv/AMC/pWLWfZ6t4i1C6VdY0yOyhVGKOp5LZHHU1oV1UcZDHx9tCLiu0k0/uZxVqLpS5W0/R3Ciiiug5wrwD9vTQdT8Tfsn+OdN0fTrvVtRmNj5VnYwNNNJtv7dm2ooJOFUk4HABNe/0nr6VUZcrUuwHyjD4L8QWfxivvhP/Y103gC716PxtHqRiY2i2rb5ZbHcoVQ4vkSQId5ZJDkDANVfENxqeg+GtE0a88G2N3pep+NfEc9zrHiHw9PrFrpSi6u5Ld/scbI7mcNtSQMFAJ67hX1z6GkKg8EDGelae1fVAfG/wH0HX18P/D2O60e9t7az+KOt3MMX9kTWEUFk9pqJjkS3fJghLSjapYgbwu4msL4afB0aT8A/AOsr4RmtPG8XxFjuJ737C66hFbnXpFYlsb1hMDZI4QqxJ4JJ+5euBS0/bPsB8vf8Ippmk+LPjnYaL4YTT/iBqf2q78P6jbaMY3fzNKhUNFdiPYpM4kz84+Zjnk1xHwD+Hav4g+H+qRapb6RqejaVcQ3Wjaf4AvdKuZ/NsirQXt287LIVcJJlgSzoCOTmvtik2hewFL2rsB8rfDX4Q2Phfwh+z3rVn4W+w+KI7yIarfCzK3iRvpV2JFncjeEDiIYc4UhAMcCue8Px33iL4seE9TXwpo/h/UbXxXcfabHTvB13DfW8G25RZrjU2cRyrIuxjiPBLgA8Zr7L9u3pRxyaPbPqgPkfQ/g7ZyfDfxxrN14Qz4s/4Ty8vbO+lsT9tEY1ZXjkicjeEKZb5TtIJPIJrpbyz8F2fxk+IjeO/B9zq+qX19Yvot5Noct/5lqLKBQtvKsbCLZOJyRuXBJY9c19JYGMYwKNoPJA/Kl7S99APguH4V614i1jxDo/iDxFaeGvGlx4tlvU1aH4fXd1qTlbtZLaW31HzygiMQhQArtjXcjD5ST96DOBS0UpVHOwBRRRWYBWjoP/ACEP+Ams6uO+I3ibxz4atbKfwL4bt/Ed0zstzHPLt8tMcFV3Lnn349Oci4zVNqTQz2mivl7/AIXB+0L/ANEvsfzb/wCO0f8AC4P2hf8Aol9j+bf/AB2u36/T/ll9zHc+n+PSvlf4W/8AJ8fxI/7BTfzs6sf8Lf8A2hf+iX2P5t/8drlP2aNW13XP2rvGl94l01dI1ubR3N1ZJ0ibzLUAdT/CAeveuKtio1alOKi1r1VgPpn4jaSsmjXurfbNShfT7SWZbey1A2iSlVLYZugzjG49K8/+H8Hw3a6tdX0nxmsOqatJDdTWq66pkuJiBhJEyGc54wRzk8c1614u1SHQ/C2r6hcW/wBrgtLSaeS3ChvMVULFcHrnGPxrxux0PV/CMmh+JdStPCN5p1/eWcX2Cy0hLeWzM8iIjxT7j5hRnU9BkAkYrtrRUaila/6DPfV+6K8j/aWbHgrT/wDr/X/0XJXri/dFeQftMf8AIm6cP+n5T/5DevTA+b6KKKAPtPwL/wAiR4f/AOwfb/8Aota3aw/A3/Ik+H/+wfb/APota3KAGEfLXIeJLGfWtSFrbpYI0cSu9xcRmSVMltu0DGOVPf8ACuwPSvPtas7Ow8QOUgvrmSURCdkvHRYVaRgD97JySflHAx2r53OpNUYpq8W7PW36XOnD/FdbnSeGbMabazW322S+kjfEjynkMQDgeg5H51zPxs/5Fi2/6+V/9Baup8Pw2lmt3b2kbJ5c2JC7lizEA5ySSeCPyrlfjZ/yLNt/18r/AOgtXiZ1yw4drJLRR6Xez+9nZg/exsPVHa6D/wAgey/64p/6CK0BXkdh4x8ZQ2cKQaCJIlRQreW/IxwetWf+E18b/wDQA/8AIT/41OF4pwsaEI+yqaJfYfYdTAVOd+9H70eo9/asXxH/AKuH6muHHjTxuP8AmX//ACC/+NT2PiLxFq10I9V0oWVuqkiTaynPpya648SYbEyVKNOactNYNL5swqYGdOLk5LTs0a1FFFeieaFFFFAHhn7cUbz/ALJvxNjiRpJG0ogKoJJ/eJ2rzzxZpesWfxU1P4QaZpEz6D8QNQtvEdzfL8sFvYqM6qhIQgNJJDEmGPzG9J4AzX1qRuBB5B6ijvnv61pGfKrWA+JpPEFt4X8Aavp9/oGjT6ZqPxU1yF9W8UWT3OkaOou5Cs9xChUvuGY4wWVd8iksoHKfs/3V3c+DzbGaOfTrP4uyQ6aLPT5bG2S1NuJAILeRmaKLfJIQpY43Hmvtry12kbRg8kY49aNo9O9X7XyA+M/Dnwz0Fvhv4/8AFM2iRHxRF8Qr2a21WSM/aoVTWAU8pz8yKVZiQpAIY5zmu5bT/A/hT9pDxfZRaTpum+Ptc0tLzQJk04LPcTeTdG4kjmCYDHnedwJzznNfSW1em0fTFLxnOOfWl7V9QPiX9mnR9PvfFnw/WbxToVj400lJZdZ0Wz8J3lprVxK9s3nRahdNdOHxJIshd02syDbjNdZYfD3RNB8H+D/FVhpMcPiefxzul1fYWuykl9NE6GQ/N5flnbsztx0FfVu0cnaOevFLtGMYGB0odZsD4j8beJbDXfizLcWukaBoHiLTfHdnb/ZY/D9zLrksa3kcJvJNQEipFBNGx2q0bKyMEDZPGjf/AAt8P614M/ae8S6josc/iPT9d1K60zUZFP2i0kt9Otp4JLdusbCQK25ME7RnIFfZe0c8detG0c8d8/jT9s1bQD5K8UX3gPSfj94//wCFs6TdajPqEWm/8IibvT5b1Z7dLVWmjsBErFJhcrIz7drfNEemDXGePPD8erePPGuh+IfGXh/wX4z1DWzLpF9eeD7q91dIQ6fZZLG6F2qlQABtRMKRIGHU190bVODtHHQ4pCi7gSoJHtSVQBIlKxIGbcwGC2MZ96fRRWIBRRRQBe0L/kJR/Rv5V1ORXinxP8XeM/Bun2d74M8Np4lvGlKTwtuZkTHBCKQW5754x05486/4aA+PP/RJ/wDyTuP/AIquqlio0Y8rTfomyrn1jRXyd/w0B8ef+iTf+Sdx/wDFUf8ADQHx5/6JN/5J3H/xVa/X4fyy+5gWP2lP+TkPgv8A9fyf+lEde5fEbwfdeJrKK5tvEevaEbKOVzFok8UTXOQCA3mIwyNvHT7xzXyHrPjbxr47/aA+F0vjXwx/wjFxb6hELaLypI/NUzKSfnJ6EDp619xa1dwafo99c3aeZawwPJLHt37kCksNvfIzxXPhJKs60tk3+gHzj8NvDXgTUL7T/F1h8WNSh1rV1gluLe51SxW4mb5f3EoEQY8gKQOuOOxr6eWvnPRvCkVnoOieM5fAngCDT7l7e7+w2ekqLm3ilZfLZJ8ANIu9SfkA4OD0r6LX7tdmF0TVrDPLf2jv+RAj/wCv2P8A9BavmOvpz9o7/kQYv+v2P/0Fq+Y69AAr7O+Hv/Ih+Hf+wfb/APota+Ma+zvh7/yIfh3/ALB9v/6LWgDofSqGqTLb6fcSMqsERmKucKcDODwePwq+axvEtjb32i3SXTSx26ozM0TspAAPp1+nSuTEylGjNx3sy425lc5aLw7Jbyx6jeXtvpUIdT5OmRlFYlgF3MeucgdBXffw/wBa8/sYbFreSa9068hjtZodkdxePLuDMNrldxAwTnHPSvQB93pXz+SRgqcnBWvq9W3fvrax04httXex5d4M/wCSp6//ALj/APoa16mv0xXh39qanpPxC1yXSbP7bOzMrR4Jwu4c8e9b/wDwm3jbt4f/APIL/wCNfGcP59QwNCtRqU5tqpPaLa+J9UetjcHOrOMoySXLHdpdEeqZFNry7/hNfG//AEL/AP5Cf/Gk/wCE38bf9AD/AMhv/jX1P+tWF/59VP8AwBnB/Z9T+aP3o6O+/wCPyb/fP86hqvYXV3eWqzX0Atrp8mSIfwnNWK7qdRVoqpFWT11Vn80eZOLhJxfQKKKK0ICvlv4x+Abjx58U/iOmnwk65pfhjR9Y0WcAAx6ha3d5NDtbacZZdjYGdsjDvX1JR3z39aqMuRgfDeoXGp/FKTwX8WtV0y4sJvEHxF0Sy0eyuFPmWuk23mhCQyKymWdriY5z8rx88VnfFbxMusfEi2uNO0/w74c8S2PxB0+J9Pt9Emk8QvbC7hjkupr0SBY4ZUkJC+WylHUb9xIH3mY1bGVBwcjjv60GNdxO0Z9cVp7byA+TPid4dh8SXPiXTL61e40+7+KWipPENyh4jBaK2SMHBzgn3rS+Knwl8NWHhP48aBpHhSyGnyeE49VtNKtbINENQ+zX0SywQgYWYiKJQUG4kDua+otq/wB0fiKCobqM0vau+wHxl8QtU8L6xoHwb1jwxceHNN+EKw6ks9xqvh2W90aK+LRRwma2SWHa2/7WBIx2hic8kGt3TfA+ia54H+EGmDUrXxZ4avPHNzdodP06fT7HymsNScQxwSSyEQBuApcoRx04r6v8tdu3C7fTHFKqhVAUAAe3Sn7XSyA+NvE2sWfwt0/4waJa+FdPvfCa+M9NtYrC8tGfSNIjnsbaeW8mhTrbxzZkZFwCzYyoJYcd4Z0+PV/BXxd0S2ltpfD0vj3wq1qdB0yfR7TE8+mmZ7aBpHeIMTu3K/J+dcBhX31tHPHXrR5aj+EY+lCq2WwHx38XPBNx4F1P4z6F8NNHutIjuvA+jX39m+G08l5ZRe3sU7wqvHnNbRbcr8zbV6nFWvFl58O9d+CfiRfgzYW1pZW9zpcWtS6bodx9na1S5AlR4lMRmKRB/MVW37Dgn5hX11tXdu2jP60gVVXCqAvoBxR7XrbYD54/Ze0/RbjxL4p17w34u8Pa1pN3b2sEml+E/Dc2kadbzqGbzcPPKrSsjorBcEBFyM19E0gULnAApazlLmdwCiiipAK6fRf+QdF9W/ma5ivFvEnxl+M/h3X7/T9I+GyanpUMzC1u0hmlEseeDuVsZx7cVrTrRoyvJN+iuM+oaK+Tv+GgPjz/ANEm/wDJO4/+Ko/4aA+PP/RJv/JO4/8Aiq6vr8P5Zfcxnvfxr/5I745/7AV9/wCk71wn7GfP7P8AoP8A11uv/R715D48+OHxq1bwT4hsdV+GX2DS7nTriG6uvss6+TC0TB3yWwMKSefSvXv2M/8Ak3/Qf+u11/6PeuanXjWxaaTWj3VgOf8AiH4B0bT9SsPDPi74n+KotN1uCZ0l1K/tFtnaJoyYzuh4bDbgTx8vXOK9M+EOk6No2l3VrovjW48Y2sXloPOvYLgWgC4VF8lVCgjsfSqHxV01PFnijw/4dj8P+HdWupILm9a88R2QuktYUMSMIkxy7NIn8SjCHOeKtfCvTF8N6jr2hSaDoGi3duYZ/O8O2gtobqJ94RnTGVcFGBGT2wa6qcVGs7L5/oM9Kr4++Ln/ACUnX/8Ar4/9lFfYNfHvxc/5KVr/AP18f+yivTA5GvTP2eV3fEWM+ltKf5V5nXp/7OvPxE+lnL/NaAPqGiiigBK+bPjd/wAnRfB76XH9a+k6+bPjd/ydF8Hvpcf1rzsd/DXqvzQH0mvSlpF6UtegtgCiiimA3PSjj1rxXxpr2pWvinUIYdQu4YlcBUjnZVHyjoAaxP8AhJdX/wCgre/+BD/412RwspJO+550sZGMnGx9C7h7Ubh7V89f8JLq/wD0Fb3/AMCH/wAaP+El1f8A6Ct7/wCBD/41X1OXcn69HsfQu4e1G4e1fPX/AAkur/8AQVvf/Ah/8aP+El1f/oK3v/gQ/wDjR9Tl3D69HsfQT+1eafFX/kYfC+Bn/SG/9DjriP8AhJdX/wCgre/+BD/40h8R6s3J1S9P/bw/+NeNm2RyzPDfVubl1Tv6NM6cPmkaFT2nLe1/xVj6FThRS7vpXzz/AMJJrH/QVvv/AAJf/Gl/4SXV/wDoK3v/AIEP/jXrxwUopK5zfXo9j6F3D2oLfSvnr/hJdX/6Ct7/AOBD/wCNH/CS6v8A9BW9/wDAh/8AGq+pz7h9ej2MP9oD/k5/4O/9df8A2qK+n818wappcOt+INM1y/aa71bTc/ZLqWdy0Of7vNbn/CS6v/0Fb3/wIf8AxrkoZbUpznJte87/AIB9ej/Kdj/zWwf9c/8A2lXqnavnD+0Lv+0Pt32u4+2Yx9o81t+OmN2c9Kt/8JNrH/QVvv8AwIf/ABryMnyOvl/t/aST55uSt2Z24rNKdbktF6RS+4+hd3+c0m76fnXz1/wkur/9BW9/8CH/AMaP+El1f/oK3v8A4EP/AI19F9Tl3OH6/HsfQuRQawPA9xLdeFrCWeV5ZWUlpJGLMfmPUmug5ria5XY9KMuZKQUtFFIoKKKKACobiQxxMwQuQM7V6n2HvU1QXPmfZ38oKZMHbu6Z7ZqJO0WwPP8AxJJHqcguprDV7HywpZ42iVTtO5ScsRweQa6TwZJazaDA9os6xMWIN1zIx3HLE98nnPvXNR6P4imujc6lp1tqcwOUWS72xR85G1Nh/M5PFdtpLXT2KNdW8dpPzmKOTeo545wO3tXxmU0qksZPETi43T3Vm/O+x6FdpU1FO/oziPjh/wAi9Zf9fa/+gPXoNn/x6xH/AGRXn/xu/wCRfsv+vtf/AEB69Bsf+PWL/dFPAf8AI9xf+GBVX/dKfq/0JqKWivtLI80wfEn/AC7/APAv6Vi10es2Mt75PlbTtznJx6Vm/wBg3fon/fVeTXpzlNtIWpnUVo/2Dd+if99Uf2Dd+if99Vh7KfYLHhX7XWqaho/wH1afTNSvtJun1PR7f7Xpt1JbTrHLqlrHIFkjIZdyOykqQcMRXP3Md98B/jP4K0Sw8R69r3hnxzLe2kmm+INSk1BtPngtTOktvPMWmCsInDIzsMsCNuMH1n44fBe/+L3w1v8Awtb6rDodxcXNldRX8lublY3t7uG5UGLem4Ew7T8wxuz2rI8NfAPxNJ41i8V+OfFVv4r1Wxglt9It7HTBp9np4lAEsixmSV3lYKF3tJwuQAMnO8acuVJoVjjPCPxK11fgf4K1vQLXTZIb6yaWW58YeIHjaPB+RWl8tmlZst8xxjbznNQ+Gv2l7/4keGfAF34R8PWn9peLNKvtVEWuah9ngtUtJYoZk3ojeYxkmULgD5QWOOlXI/2Rtc0fR/AcGjeJ9L+3+F9KudJ8zW9FN9bTJM0beckHnp5UymIANuYEEggivD/iV+yzrPgK8+GnhKJddu/Bug6Lqdq3iPT9Bh1x2nuL1J44HsmjcRkLHzcInzEBTsBxV+xT3QWPR/Dn7VnifxR4a+GFxp/gqyuNa8fNqAsbU6o8UNutsobfLI0WcYDk7VbIUbd27Na2j/tS3OseF5Le38Mxz+P08Uz+DTokd8FtTfwp5ssonZQxgSH94WCbsDaFJrS+GPwc8Z+OF+Fni7xl9n0LVfBc+qwQafFYLbm+tJUa2tpHiWRltnMSo5jUuATj5fuqW/7HN9pKeIL7S/FaWXiO68c3PjfTdSk05ZUsZJoUhktpIi/72No1dSwaNvnyNu3lexWziFilqn7Sms+D9L8bWnijwrDY+JfDP9nO/kXpbTZoL2Ro4bnz2QMkUbRyeaxTCBM5OeL/AIs8X391H8J5tbCx3Gp+L1tYn8La3KLSdPsV3LG8jBVMsR8sExHgkLkkZU9BpfwB8ZWM/ifX5fGOm3XjbX2tYp7yXRi2mxWluX2WqWhuCwQ+bKWbztxMhOeAKpaD+yveabb+GmuNZ09bvTPFz+LZ10vS/slnI7Ws1v5EMHmv5S4m3ltzkspJHzcL2XVILDfgh8atR+Mkt7fR6bpVjo0Ms9u1sNRZ9Us5o5Nnl3Vv5YEbMBuxuyAV6g5rO/aal1jxNa+H/h74b8V3Pg7XPETXU/8Aa1jcNBPBb28JYsrgZA86S2UgFSVZgDXTeD/gH4n0/wCJsPjXxL4i0fWNRttOl06NtK0P+zpbhZGjYyXUnnSeayiJQoUIoy3HIAj8Sfsp6J8QPinqvi/xvaab4tt306203SdLvbP5NNRGkeZtxdhI8ryDLBVwI1XnrS9m1K6QWODvviBffFr4A/D/AFSefUfD1/rWr6bp+sRaZdy2VxDMLjyrqFZInDoPMRxw2duM96rapear8BfilpPhODxNr3iDw34z0zVJLGHWrx7650u9tIBMWS5kPmeS8e4bXZ8OFxgE12EH7Jt54b8M6rovhLXrLQLJ/EcHiLSbWTS/OtdMZPLZoBEsse9GdHfO5SDIeuK2PDv7PXiH/hI9W8TeMfFcfifxHc6dLpNk9rp4sbPTraTBdYofMkZmZlUszyMTtUDaKr2b7aBY8P8A2Tfi1q3gz4aahD8RvEl/rVvB4ZtPHNprOqSPcz/YJoCbqFn25YwzxSlVyW2TRgcACuj/AGRNb8Y6n4u+KEXjHWNSv7xptL1JLDUJWZdMN3ZidraNCF8tU3Ku3aOU55zXS6p+xXBrvhH4T6Bfa872/gmGG0u/LtlC6zbR+Uxt5FLHZG0tvC7D5shSvfNem+E/gzceF/iJ468VDUFuT4oeyf7J5e37N9ntxDjfk792M9Bjpz1pSg7O0dxHSUVo/wBhXfon/fVH9g3fon/fVc/sp9irGdWjoP8AyEP+Amj+wbv0T/vqrek6XPaXXmSBdu0jg5rWlTmpptBY216UtFFeyMSvlf4Wf8nyfEc/9Qlv52dfVFfK/wALP+T4viP/ANglv52deXi/4lL/ABAfTepxyTafdRxCFpWiYKLgZjJwcbh3HrXzpo0fhPwN448P6bq/huGXVDdJHYLpOvyahBaySuVV/scsgMSjrvVCF9RivobXQkmjXyS2jX8TQuGtVxmYbTlBkgZPTkjrXiPhH4c+JdF1zTrjwvZP4C0HzIGu7G9v0vTcRBiXiERR/LYj5Qyygc9M1WJ5uaPKrgfQC/dHavHv2mv+RR0sf9Pw/wDQGr2FfuivHf2mjjwrpQ/6fP8A2Rq9ID5yooooA+0/Av8AyJPh/wD7B1v/AOilrdrC8C/8iT4e/wCwfb/+ilrdoAjb7pNeaeINWg1K4+0f2br9lMAqPJHbjayq25chiRwc4PXk16WxOD6157Jpev6heNPqVjHfIrZS1W52Qr6ZXadx9yfwr5TPfaTpxpQi3zeV0vN21OzDWTcm9vM3fAd5a3+jtcWpuWWSZmeS7xvds9eOMdAMdhWF8bP+RZtv+vlf/QWrsdEa4NntuLSOyZTgRxvvAXtzgVx/xs/5Fm2/6+l/9BavPzqm6fDtWD6Q7W/BnTg2pY2DXc7TQv8AkD2f/XFP/QRWhgelZ+g/8gez/wCuKf8AoIrQr63BpfVqXovyPOqfGwwPSsXxH/q4fqf5Vt1l61Yy3qxCMA7Tk5OK2rRvBpGZzdFaH9hXX91f++qP7Du/7q/99V5Hs59ibGfXg37dHi3WvAv7Kfj3XPD+qXWjaxaQ2xgvrKUxyxFruFSVYcjKsR9Ca+if7Cuv7q/99V5p+0f8Bb349fBXxJ4Dj1KPR31iOFBfNH5wi2TRy/cyM58vHXvmrhTmpK60Cx5o+j+I/wBnnxf4AtLXx34k8a+GvEmsNot5YeK54bueCSSCWWO4iuBGkvymDaYyWUiQnAxmtb4e/EDWT8ONOufDel3OvrNqWrQy3nivX0jMBhv5Y9rSiJmbdhtihMKkeC3A3dJpvwH8Z+IPHWh+JviD4q03W10EtPpei6HpbWFnDdMjxm5k82eZ5HCOyrhlC7mOCTXKXH7IuvWln4SOm63od/caDe6zc/ZfEOkveWUwv7lpt4iWZNssQYoGychnHGa2dNvdBYs+Hf2jrrx14V8GXnhrwt9o1vxJJfxf2fqGopBDaNZSPFcFplV948xcLtUlgwYhQDjLsf2ptR1Hwv4L1Gz8Frfaj4q8RXHh6zsbfVVCxyQpMZJZJZIkAVWt5QQob5QCu4kKfN/Hn7N+u/DjS/hh4W+0T3enaQ+uXUniCHwnLrVusl1deckLWNsd8TFZWAlVgBsK9HxXp3w1+FHi/wCJHh/4capr9hZ+GF8F+Irm7sLe3057L+0bEW09vDI1q7s1ozCfdsZmI29F3YW/Yr+ULGlZ/tGM3hnxC914cYeKdF1+Hwy2i2t6rx3F7KImjEczKuU2TK7HZlQr8HFO1L9oDUvCNj4zj8VeEvsGr+HdJi1lYbC/+0W95BIzoCspjQoUZDvymFHzZPSpNS/ZP1G6k8Z3trr1vba1qniyDxdpF5JZiVdPuYbeGFVZCw8wMsUisQVO2VgCDzWnpvwS+JBvPEHiTVfFPh658aahZ2+nWpt9Fk/sq1topmkZGge4MkhlDsrN5q4+Uhfl+bP2Pl+YWMHxx48vn0HwFea9DPpM2oeMbCztv+ET1/zYbhHVmUzSeUvmQkhg0WPm2j5ua3/hn8X9R+JeuaqtroVpZ6JYahdabJNNqYN8kkEjIWkthHhFcqCv7wna6nHNcxof7IGsWUEU13rWmW90fGtr4uex0ewe306DyYRGYIImlYqZG3SM+eWc/KK6rT/gT4rufi9Z+Mdbv/C5i05rgW7aPoz2l/cxyqyrHczmdg6qChwF+ZkB+XGKHS02Cxk/tLeIdWbRNA8CeGNak0LxZ40vjYWl/bzCOezt4o2nurle/wAscYTI5DTJzyK4LxF8TNZ+JH7KHh+/TVNS8MeI77XNJ8PazPpkptby0uRq0FneqjZYoSRJjOTtYZznFev+JP2bbPx58Vj4s8VRWut2Vppa6dpemTK2y0ZpC88xyxBd8RKCAMKhHOa5PUP2QbrT9H8Yab4R1ex0Cw1jX9K8TWGnyWHm2theWklvJJlFdGkWZrVGb5lILNzRGm7JNfgFjNsINd+AXxG8B+HZfG+veM/C/iqa501Y/EzxXV5aXaQyXCyrcoiM0ZSN1KPuwdu3AyK4z9k/4zazY2uvab8Q/EdxqMdxp8/i3TNT1FixSxW4lhu4SwQACB0RguWIWdQMAYHuPhr4J+Mrrx9Z+LvHfijT9eutNtXt9K0zRtNbT7K0eTiadg80zyyMoVQSwCgNhcuTXD69+xO3iL4c+AfDU+uRwXPhm+mkmv0tQxvbGd3N1ZFS3ypKrICck/ul/CvZu1mtQsc9+yz428ZeMPid48vfFOoXn2XV9O03X9O0OdyY9Kt7lrgQwqD91vIihLjj94X4r6armPD/AMHLrQ/it4n8YLeRvFrGnWNglkqbfJ+zmY7t2ec+b0wMba7f+w7v+6v/AH1WE6cm7pBYz6K0P7Du/wC6v/fVH9hXX91f++qj2U+wWG6If+JlH9G/lXVVg6XpVxa3iSSBdoBzg+1b1eph4uMLMoKKKK6wPl79oj/k5T4Nf9fQ/wDRyV9M3O9reQRhTJtO0P8AdJxxn2r5o/aCUN+018HAeR55P/kVa+lNS2f2fcCRGlj8tt0cY+ZhjkD3rycN/Erev6AfNdvp+g+AvFWl2XirSr20t5LmE2Wmab4jN3pcVwZeGSyZ0kUKxHARkXIwBjj6dX7tfPPhP4b6/omvQXXgzSrzwrpjXAe5XXryG58yMON4CmOSYF1z/wAtlweor6GWtcImk7qwHlv7R3/Igxf9fsf/AKC1fMdfTX7R5/4oSAZ63if+gtXzLXogFfZ3w9/5EPw7/wBg+3/9FrXxjX2f8Pf+RD8Of9g63/8ARa0Ab9YniTVI9Ps9kun3WoRzAxtHaxeYcEc556Vtn7tc74sGryW0cekCMMzYlkY4ZVx/DnjPuc49K87HylDDycE2+yV39xpTV5K5xFtqFlHqtpBdjXgsksYSC5iVQ7Kfl3EfMwBwfw5zXq6/dri9D0/UNMlUjRo2kc/vLqS83yN6kkr+ldoPu14mRUZ0qdRzVm3tZq3ze50YiSk1Y8u8G5PxU8Qf7j/+hrXqa15Z4L/5Kp4g/wBx/wD0Na9UFcPCKX1Or/18n/6UzpzH+LH/AAx/JBgelNp9Ffc2R5Rxt9/x+Tf75/nUNalzo9zLcSuoXDMSPmqP+w7v+6v/AH1Xhypzu9BWM+itD+w7v+6v/fVH9hXX91f++qXsp9hWPkqTwvr3xY/ar+J2lv8AEbxl4X07wvYaHPp9l4f1FYbfzJ452kMkTxukgJiXgjByc5zVzwH8Ste8RL4Y03xdf6jJr2i/EO+8JtfaTcJaRaoILK5mjuLqJAVZZI0UtEpUCQggKBsHc6l+z58QtL+MHjXxt4P8X6DpC+KrOxtLmHVdElvZLY2qSKjxFbqJcnzWJDqRwPfN/wAM/ssp4R0vwda2WqzXdzo/ia48U6lqN4qm41S7ntruKZ32hVUlroEYHCxheetdXI9mgsQxfGLXrDx14e0XXfCdtpdlr13LY2s8GsxXNxBKkMkwE8IUBQyRN9x3wcA9c1hx/tE61ca14dEXhC1XQdf8QzeHbG8m1jbceZD52+R4VhYBSLeQqN+fu525OK3gn9kTxJ4V8SeFru41vw/cWHhvVbrUopbbRPK1HUBLFOm25uTK2WUzk5VRuxzXlPwh8JeNfC3jjSb3T/DgudYvtfuDe6Lqvgi6tJNLt5rh2nkGr7hBIUQ5DBW8zIXvuAqPkFj1OP8Aah1KS18Ra0vgdl8KeH/FU3ha9v21RDcSOl6tp58MAT5k3OrEMynGcZxk9Hr/AMZ/ELa54ytPCfgr/hJbPwkFj1G4l1IWr3FwbdbgwWq+W6yOqPHncyDc+3jrTY/2V9Qj+G/jLwsdbiL+IPFtx4nF15BxCJdQS78nbu5xt2bsjrnHal179n/4haf4g8Yy+BPF+j+H9F8XSG71CDUdHa7uLO6aBYJJ7RlnjXLLHG22VXAcE8g7aXstdvzCw/S/js3ivxzpWheGtNsbu2utHsdce41DUxazNa3LyrmCERv5xjERLYYAF1XPOa463+OkXg+68fNbW2papeDx1H4ejTW9V/0K3mktIXUq/ln7Nb4ONuGzI3+3xt+Pv2T/ABD4s0zQ/C9lrmh6b4P0lrL7FOukv/benJbmIsLe7E4RWk8tvmMXy+YeGwBWvH+zv4q0FfHkuhavoNxL4q8SNrc1rr+lPdWpgNrHCbdlWVDu3RK4fPbG3nIXsuyCx6L4ZvtR1PQ7a51axt9Ov33GS3tbv7VEBuIUrLtXcCu1vujGcdq+bfB/xc8Rap8doPFd3qjj4a+JNXvfB2j2nnI1qslouY7wMHwGnuI76IcbmCwgds+4fD34Kaz8P/g+/hC11W1bUdl6Yb23t2ht7Z55ZZFSGHzGKRReYERN5wsY5rg9a/YY8L3HwntPDOh29voXiTT0tp9O8URwq9zBewSJIlzz1ZnTLEYJDvzk5pRptXugscva+CNd+KH7QfxVkX4l+NPC6+HrnToNNstG1CMWMZksI5GZ7aWN0k+ckkEAHn61xHiz4qfEbxR8OfBMem61cQeMdH8W6zpeoTaaPJj1mXS7W+faUw37uZrdcxjPLcdBj3K8+AnxN0/x54517wp408P6FD4sNtJMbzQpb64s5IbVIA0Tfao0P3dwDow6ZzWxoP7M0XhNfh1DpeoTPH4T1K71S4nvm8641Ka4tbmKWSR+P3jSXJkJxjjAA4q+Rx6fh5BY8d/ae+M+q+KPgrZf8K41ybSLnWPDd54ul1azk8u5tNPtbbzxtBIZWlmaCLpkKZeMjj6O8D3k2oeCfD91cyNNcT6fbySyOcl2aNSSfck15LoH7FjeG/CvxY0K01wfZPF1neadpMb24CaJaXBnkMCKpAdFmupmHQ42jPFe6eG/Bt3oPh3StMZ0mNlaxWxkHG/YgXOO2cVlKm7JRQWForQ/sK6/ur/31R/Yd3/dX/vqsfZT7BYz66fRP+QbD9T/ADNZH9hXX91f++q29Lt3trNI3xuUnp9a68PCUZ6oou0UUV6gHFfGv/kjvjr/ALAV9/6TvXB/sYsD+z/oOP8Antdf+j3rvfjR/wAkf8c/9gO+/wDSd68//Yt/5N90P/r4uv8A0e9eXL/fIvyf5gdN8Y/DM+u2+nXUGmQ3L2PnSLdx6tJpt7bMUx+4lUY5Gcq5CnC56cUvgHqnhjULHWk0GHUBqMU8Y1O41O9F9NPL5Yw32hZJFcYGMKwAIb5VOan+NXg+x8YR6TDP4f1TW7yKR2tpdPu1t1tGOB5jlmCtg4wCr9+PXS+Eui+K9F027g8S3Ns8ZdTY20RjaS3jAwVd4ookbkZGE4zgk00pfWLpaAehV8ffF3/kpGvf9fH/ALKK+wa+Pvi5j/hZOv8A/Xf/ANlFemByFepfs4/8lCk/68Zf/Qkry2vUv2cf+SgSf9eMn/oSUAfT1FFFACV82fG7/k6L4PfS4/rX0nXzZ8bv+Tovg99Lj+tedjv4a9V+aA+k16UtIvSlr0FsAUUUUwPBfHv/ACOGp/8AXQf+gisGt7x7/wAjhqf/AF0H/oIrBr36XwRPmK38SXqFFFFbGIUUUUAFcF4u+LUHh3xZB4W0vQNW8VeIpLX7dJZaWkSrbQbtqvLLK6Im4hgozk7TxXe18/X3jDTPgf8AHjx3rnjNm0bw94mtNNNhrbQu9s0kEckbwSOqnZJ825Q33hux0xWc3y2NKceZvqez+HfEy654fg1S7sLzw+ZHkjaz1hUhniZJGQ7gGZcHZuUhiGUqwODWo15AiK7TRqjDKszgAjGcj8Oa+dfHXjjwrqHxM8JeLfF4mT4cT6JdpYXOtWUiWSX/ANoUB5I3TKO8Kt5bOAGUtjk15r4d8FnxFrXw6sNbs5p/Bep+O9dutE0+4WSNF0r7HI1umw4Kxs6OwQ8MjdCrYrP2jRr7FbvQ+0m1C1jWNmuIlWX/AFZZwA/09anBDcjkV8f/ABC0ey8L/GDxhYeI9Q8NeFfClxpFlaeHf+Ei0WW6tvICP9ois3juIVilEp3Moy53RkcAV9P/AA6s2034f+GbR9Qm1ZrfTLaI39xC8MlyViUeY6P8yM2MlW5BJB5q4ycnYidNRSa6nRUUUVqYhRRRQAUjdKWkbpQI90+H/wDyJ+nf7jf+hGuj9K5z4f8A/In6d/uN/wChGuj9K+cn8TPqKXwR9B1FFFSbBRRRQAU1vu06mtQByereJrvS9SuwttFLY28UckrPLskG4kHaMYbgdMjnjvS6L4ivb7UAZVh+xzPNHEFUiRTG2Pm5IOcHoPSsfxtGLzUhs0qxu3g8qNprtmBBlYooGB0BOc+5xzWp4L0W2jt1uzaxwXaNJAyxSu6LhsHG49TtGT1NfB0a+LqZi6MJ3gm312vttb8T0pRpxo8zWr/ruYvxv/5F2y/6+l/9AevQ7H/j1i/3BXnvxv8A+Resv+vpf/QHr0Kx/wCPaL/cFb5f/wAjzF/4YBV/3Sl6v9CxRRRX2p5onSiuF+JXi3UPC/8AZ5sTGPOLh/MTd024xz71xH/C3Nf/AL1r/wB+j/jXhYjNsPhajp1L3XkS5JbnuPNHNeG/8Lc1/wBbX/vyf8aP+Fua/wCtr/35P+Nc39v4Xz+4n2kT3LmjmvDf+Fua/wCtr/35P+NH/C3Nf9bX/vyf8aP7fwvn9we0ie5baOK8N/4W5r/ra/8Afk/40f8AC3Nf9bX/AL8n/Gj+38L5/cHPE9yxRXyH4N/ay8S33gXxZqviODT9M1Xwvd39rqcMUEgiAgJdJE3HcUeExuDjnccVgRftX/FfW9W0vQdH0rwna+IP7BtNbv4dWuZkRjM7qYoFQFiF8s5kOQNyjFdsczpNtWem4+ZH219KXbXwv8Rv2nvj34P8QaBbWukeA2s/EGpx6XZLcT3bSxSNBJKTKQoG0eU4yo5yOOuOr8G/tPePV8Yal4Z8bW3h/TL+z0iHVkn01naGdDJKkpXeQ21NseSQOX+lOWZUVBT30vp9w+ZH17xRxXwr4T/bv8Ra98CfF3je/wBLsdG1bQ/ORLG4B8ud3jSWywQd22ZZoAOmSxxxiul139q74gaH428GaFN4Yt4bPVrtbK91WYqIvONq8xW3QOWcAoQWYKB0G45IHmVKLaad1f8ABXFzI+xdoo214d/wtzX/AO9a/wDfo/40n/C3Nf8AW1/78n/GuH+38L5/cLnie5c0c14b/wALc1/1tf8Avyf8aP8Ahbmv+tr/AN+T/jR/b+F8/uD2kT3LmivDf+Fua/62v/fk/wCNH/C3Nf8AW1/78n/Gj+38L5/cHtInuJ/Ol/SvDf8Ahbmv+tr/AN+T/jXSeAPHuq+Ide+yXZhMPlM/7uPacjHv71tRznD16kacL3Y1NM9Pooor6AsSvlj4W/8AJ8fxH/7BLfzs6+p6+WPhZ/yfJ8R/+wU387OvMxfx0vUD3T4r+GZPFfgPVtPTXJvDyPbyeZeR7Nuzy2BWTcD8nOTjB44IrzPwpp+la1pmmS3fjvxNqGnabf2ETWd3bJbwyT7o2twR5KvsLmMg5weMmvWPHuqaBb6Fc6d4g1S30u11KGW23TyrGWBXDbSe4DV45osdlP4hih1P4peH720v9Rs5mtbaFIp7qaAxi3jDGQjlo0yFXLHgYor29ouvzA+il+6K8c/aa/5FjSf+vz/2Rq9jX7orxn9ppv8AindIGeftTf8AoBr0wPnakbpS0UAfafgb/kSvD/8A2D7f/wBFLW7WF4F/5Enw/wD9g63/APRS1u0AMbp0rk9c8U3ul6tcxR2K3NnbwJPNJ5gRkBL5wD97henHfnpXWn2rgvGUdreaoUfSUvZIYo/MmknaL5ZHKqvyj5uQTzwPrXz+dVqtHDc9KVmn9/l1OnDxjKdpK6/rzNO08SXU2ueS8UX2GSZreJlJ8wSKhc7h0wQG6envWN8av+RXtz/08r/6C1aXhXQ7T7RJcPZm2uraVk8v7S8yhiMl/m7kHr1rN+NX/Is23/X0v/oLV8xmUq9Th/EVK7vzK68vwR34XlWMpqC2aO10H/kD2X/XFP8A0EVfqhoP/IHsv+uKf+gir9fdYP8A3al6L8jy6nxsWkori/iR4qvPDFraPZeXuldlbzF3cAVpiK0MPTdSeyMm7HZ7qN1eI/8AC3dd9LX/AL9H/Gk/4W5rvpbf9+j/AI14f9v4Tz+4j2kT3DIo4rw//hbmu+lt/wB+j/jR/wALc130tv8Av0f8aX9vYTz+4PaRPcOKTivEP+Fua76W3/fo/wCNL/wt/XfS2/79H/Gj+3sJ5/cHtInt9HSvEP8Ahb2u+lt/36P+NcJ4V/ay1DWPCfibWNWhtdJfw3eXlrqsO1pBb/Z/n3ZwMhoiknGfv4zxW0M5w9RNxT08h86Pqml4r4m0j9sT4k+LLrSdN0XwnoUOtzaNa65eWurahJAI4p2fbDHiIs0m1PmYgKpODmtT4k/tWfEnwDqmgxQ+F/D99Za5qlvo9nLJqksUonljZ8yILdgqAo4yGY9DjkgdP9o0eZRejHzI+xPypeK+WND/AGlvF8njb/hF9d0fT9OvjpCaotxaTNPbu3nvHJErMiMSoETH5f8Alp7ZPI+H/wBuy6174S+MPHCadFFF4fuLm3W3KMftW3Bt2Q46TK8RBAON/fFT/adLom9vx2DmR9q8UetfHPjr9sPxl4H8SeC9KuPCMcsWuala6VdaoJQtrb3EyFwkWfnmwEky21QMDuSB6t/wt7XfS2/79H/GsamcUKSi5J67C50e4cUcV4h/wt7XfS2/79H/ABpP+Fua76W3/fo/41j/AG/hPP7hc8T2/PtRurxD/hbmu+lt/wB+j/jR/wALc130tv8Av0f8aP7fwnn9we0ie4cUf56V4f8A8Lc130tv+/R/xo/4W5rvpbf9+j/jR/b+E8/uHzxPb/w4pcc15b4I+Imq6/4ihs7kQ+S6sx8tMHgZ9a9Sr18LiqeMp+0p7FJp7C0UUV3DPmD9oD/k5z4Of9dj/wCjFr37xpot3rvhm9srPU5NKmmiZftCqh42kYO5SADnk4zXgvx2Ab9qL4O5/vyH/wAer3fxvr2gaPoc0XiPVbXSbG9VrXzbq4WENuU5VWJHOM/lXkUbc9a/f9APIPh/Z2ms+B7DS7jx3qVzp2iwafFdQw2McVs+AnliKRoA7xFlADDqO9fQMf3RXzLod5YSal/ZB+JnhG70m5Sxs18iRftkyQOdkYUPtDMCoLAHJ6KK+ml+76VvhdmB5P8AtJNt8FWg9bxf/QWr5pr6S/aUY/8ACH2I7G7Gf++TXzbXoAFfZ3w9/wCRD8O/9g+3/wDRa18Y19nfD3/kQ/Dv/YPt/wD0WtAHQms/WbtrDSby5QKXhheRQ3TIUnmr5qjq08Vtpd1NMnmwxxMzx4zuUA5HNc9e6pSadtHqVHdHNyeLtRWxmV7CO1v/ANz5SSS70IkcICxA4wc5H61ueHtSl1TTxLOixzqzxyLGcruVipwfTINcCumW8LgvoUcCq0XmbdQkJi3nCnp/CSenTtXo2l6dBpNmlvboViXJ+ZixJJJJJPJJJJ/GvkcnxGLxFWTqyvGKt1+/VI7a0YQVorV/13Z534L/AOSqeIP91/8A0Na9T7ivLPBf/JUvEH+7J/6Gtep9xU8Jf7nV/wCvlT/0o2zH+LH/AAx/JC0UUn8P4V9weUHFJxXjutfFLWrHWL22i+z+XDMyLujJOASPWqX/AAtzXfS2/wC/R/xr5yWeYWEnF308iOeJ7hkUV4f/AMLc130tv+/R/wAaP+Fua76W3/fo/wCNR/b2E8/uF7SJ7hxRxXh//C3Nd9Lb/v0f8aP+Fua76W3/AH6P+NH9vYTz+4PaRPcOKOK8P/4W5rvpbf8Afo/41ynxG/aU1v4e6TY6pNaW1zYyahbWd0+zb9njlkEfmkk42qzLnOMDJq4Z5haklGN7vyHzo+m+KSvlTxx+1hrPg3xVpGjJpsOo/aLC+1W+khADWdpbRg+YVLZYvIyRr0GSeeKyPAv7TnxX8ceHYdet/DHhf+ztUs0vtL26vISgYIfKuCIDhsF+UDAFdp/vV0rNKPIp7J9x8yPsKl4r4x8E/tZfFTxtN4oS38IeHYv+Efv7nSpx/a8rPNdRQrIojBtwCjGSNdzFSMsccAGHXP26b7Rfhn4D8XJplrdxeJri1ge3WQJ9jV0Z55GY9Vh2MDwOg6VbzGkpcq1fl56hzI+0+KOK+WtW/ac8VQ+Obzw3pOiWurzWuhtqrSLKsQ80yBIbc5J2mTEh3HgBKoeCf2nPiBdeOL3wn4s0PRdM1JLEapbXGk3L3MDwNK0YRt6IwkXaMnG07hjuBn/atDlctdr+f3C50fWmfajPtXiP/C3dd9LX/v0f8aT/AIW5rvpbf9+j/jXL/b+E8/uF7SJ7fn2oz7V4h/wtzXfS2/79H/Gj/hbmu+lt/wB+j/jR/b+E8/uD2kT3DIozXh//AAtzXfS2/wC/R/xo/wCFua76W3/fo/40v7ewnn9we0ie30V4j/wt7XfS2/79H/GvT/A+tXHiDw7bX11s86QuG8sYHDED+Vd2FzOhjJ8lO99ylJPY6GiiivYKOL+NH/JH/HP/AGA77/0neuA/Yv8A+TftD/6+Lr/0e9d/8aP+SP8Ajn/sB33/AKTvXn/7Fv8Ayb7on/Xxdf8Ao968yX++R9H+YFv4oRy+GfHGn+Ir3xjfaVZrYXcMdra2SXEyAvbM2xRCxMf7vLs33TsxwTXZ+C9Hh0vXNVnl1+81zVLiC3aY3SRp5cXz+XtVEUYJL+pzmuD+LXiLwzq1/MbDx94d0nW7e0vNIubXUrlGUpJt3owDho3V4155/iBB4x03whuoNYl1bVv+El0fxHeSJb2zjRCDDbRxqxRCdzEsS7nJxxjgYohb2zS/MD0yvj34uf8AJStf/wCvj/2UV9hV8ffFzH/CyNex/wA9/wD2UV6YHIV6l+zj/wAlCk/68pf/AEJK8tr1L9nEH/hYUn/XjL/6ElAH09RRRQAlfNnxu/5Oi+D30uP619J182fG7/k6L4PfS4/rXnY7+GvVfmgPpNelLSL0pa9BbAFFFFMDwXx5/wAjhqf/AF0H/oIrBre8e/8AI36p/wBdB/6CKwa9+j8CPmK38SXqFFFFbGIUUV4X+1v421DwN4T8GXFlrd94ftL7xbp2n6jeaeMzfY5PM80KNrHOFyMKTkDg95k1FXKhFzkoo90or5t+Hfxo1DR9C+IfiGTUNS8aeCrK/s9P8Ly3USx6jfXTqsc1ttKxscTuihnUHljlgK7W6+OGr+G7/VtO8VeEV0jULfw/ceILL7HqQuoLyO3A86HzDGhSRS8eRtYYbIPHOaqRZq6Uk7I9dpO4NeZ618aDpviD4a6Pb6N9pufG1vdzQM915a2zQ2guArYQ7g2dueMdcHpXB/DD9oTX4vgJ/wAJr4z061nuZL2awsBaXqLJf3BvpbeKEqyIkQBCqX3HKqzkDpRzxuT7OVrn0RgHqM0teB+Iv2rIPB+g+NZtV0Wyl1vw3p9vqyWOlayl3BfWssoh3pN5asrJJlWVo+MoQSGyPYPCOr6xrelfatb0L/hH7h2ylm12ty4jIBG8oAqv2KgsARwzdaqMovYUqcoq7NyivBbiy8S+C/j54I0vT/FuueJYdWgvJ/EVpqMsUkUFvHCRBMkaooh3TEL8v3uQc4yPeqcZc1xSjy213CiiirICkalpG6UCPdPh/wD8ifp3+43/AKEa6P0rnPh//wAifp3+43/oRro/SvnJ/Ez6il8EfQdRRRUmwUUUUANqK4Z1hcxgGTB2hjgE9qmNU9UmeGxuJIl3SLGzKMZyQOKxqS5IOXZDW5yetX032hbZ7TS5JbqJVljmutjsRk7QNuSBng+/at3wzZNp+kwwG1itCuf3UMhkXr13EZJPXmuY0aTRI9KjF5YSS3UiBpnlsnZ2cj5iSVrovB+V0cLiQRrLIsQlBDeWHO3g89MV8jltT2mLVSTTck9F020elzurK0OW1rP7/wATlvjf/wAi9Zf9fa/+gPXoNk3+iw/7o/lXn/xw/wCRds/+vtf/AEB6q29j8QPKTy763C444Tp/3zXhyzKWX57ieWhKpzRj8KTt66o7Y0FWwkLzUbN7u3Y9RFLXmf8AZ3xF/wCf62/Jf/iaP7P+If8Az/2/5L/8TXtf6x1f+gGr/wCAr/Mw+ox/5/Q+9/5Fb42H5dJ9cy/ySvL66zx5b+I7dbE69cRzqS/leWF4Py5zgD2rk6+TxuKljK8qsqcoeUlZnk4in7GfKpKXpsFFFFcJyhRRQSFGTwKACij2oq1GT6BZngfxO+GviHWviZLp2maYX8I+L3sH8QXySLH9n+yOzsDhg7NNHHDDwMAA5q98etFXxdFeaa/w71vWNWt7cnRPEGj3NvDJbzlcqRMZUeHa4XOQVOBkN0r24nqT06Gj07V6McZUTg3H4f61+WhVzx/xT4N8UappvwYF2n9qapous2l1rV1G42jbY3Ecs2TjIMjjoMnd0qp+0R4H8T6zfeH9a8H28lzqHkXuhX6w+Urizu4SBKTIwBEU0cLbepBPFe2fw1R1bWrHQoYJr+5W2jnuIrSIvn55pXCIgA6kswH6ngURxlSM4NRu1fT1JPDfFXwf1eT4s6Fa6ZYeX4Nvn02+1m6tzGmZtN8xoUkUn5xIfsq4A+7Cec4rf+L0+u3vjbwU+m+D9a1a00HVvt9zd2ptRHJG1pNHiPfMrFg0qg5A6Hnpn2D2PWs/VPEGnaLdabbX11HbT6jP9mtI3zmaXYz7V99qsfwqljKk5R5o3aT+fn9w7lmxuGvLK3ne3ltHkjV2t58eZGSMlW2kjI6HBIyOpqejiqMmuWEOtW2kPcoNSuYZLmK35LNHGyK7ewBkQc+tebyttpIReooorMAooooAK7X4Sf8AI2D/AK4P/SuKqtNY/EC+vrZfh7qNlp2pqGMzXkasGTpgblYDn2zXfl8uTFU5Wvr0Kjuj6t9aXNfL3/CP/tQ/9DLof/fmD/41R/wj/wC1B/0Muif9+bf/AONV+nfXJf8APt/cdJ9QfhXyx8Lf+T4/iP8A9gpv52dT/wDCP/tP/wDQyaH/AN+YP/jVct+zZB4jtf2sfGUXi24huvEP9jObua3ChGbzLXGAoA+7jt2rjrYh1KlJOLjr1Qj3/wCNPj7WvAum6f8A2L4TvvFF1eSMha0tZLhbQAD53RASevAyM4xkda808C61Y3HirT9Q8ReEvH2u+I5rhI4dQ1Tw80Flp5dguYowdkKDglzluCSecV9FatqVvo2m3d/dv5VraxNNK/8AdVQST+QritF+Llnqlnd3Fxo2paULa/tbBo7xED5uDGIXwrHCkyp15Geld9SmnVUpS+VhnoK/dFeLftOf8gPRv+vh/wD0GvaV6V4p+06T/Y+hj/pvIf8Ax0V6AHz3SN0paKAPtTwN/wAiT4f/AOwfb/8Aota3Kw/A3/Ik+H/+wfb/APota3KAI+efSuU1MT3LfvdOtHlmgEUwe6KnqTt+7yB1B9zXUvlVb6cV5ro+qeGprASarHG+ozAtcedC7MGJPGSDgCvmc4qaxo3Sum9dtLeT1OuhHeVr27HZ+GLA6bYNGbdbYltxVZmlznuWPJNcx8av+RXtv+vlf/QWre8Ezwy2Nwtq7SWcc7LAzZ4XAOOecAkisD42f8ivb/8AXyv/AKC1eNnMorhus4LTl/U7MHf69C/dHaaFn+x7L/rin/oIrQryfT7f4gNZwGC4hEJjXZny/u44/h9Kn+y/Eb/n5g/8c/8AianC8R1I0Ka+pVXoui7eo54Fc7/ex+//AIB6c2e2BXm3xqGNP03/AK6t/KovsvxH/wCfqD/xz/4muZ8cQ+KI7W1/t6WKSLefK27euBnoBWeMz6eKoSovCVI36tWS9Xc562DVODl7SLt2ev5HI0UUV8pc8QKKKKACiiir12AK+d/ix8OdYvfixLpum6dLdeFPiDHZp4gmVZGjtmspAXLMGAj8+ArFx1MZOO9fRFFdWHrTw7ckt/6X3MDwf9oaGx1pv7Nl8B+KNQ8QxQMdA8ReHrbJgmKgqPtCODAofbkSbVIXPOOLPxA8N+K9S8L/AASj1K3l1bX9O8SaXc63PZxb0RktZhPM20AKm8/ewB8wHGQK9w/Ck9+1bxxklGMVHa/5W+QHiH7S2m+JrOHRfEXg7S7nU9dSK90VRZxM8sK3cJVJsjhVSaOFmZuAAelcxrHwq1Xwv8VvD/h7SNOvb3wfrVtpb6hqCyNi1m0onb5gC7V85PIXtuMTAdK+jdQ1S00i3+0XtzFaQ70i8yZwi7nYIi5PdmYKPUkCrNVTxtSnTjBLTX+vkxps+eP2nPFF4viL4f6fY+EPFet/2H4nsdcurrSdGmuoPs6RTqwV0BBcF1+WvftMvhqem2t4IJ7YXESyiG5jMcse4A7XU/dYZ5HY0l9qtlpS25vLuG0FxMtvCZpAnmSscKi56secAc1arnq1va04Q5fhvqG4UVXn1C2tbq3t5Z4457gsIYmYBpNoy20dTgc8VYri1W4gooopAFFFFAHWfCz/AJHK1/65yf8AoJr3nivkvUrfx5cXVmvw+ubW21cMxdrpUOU28gbwV/TPTFT/ANmftUf9BXR/++bX/wCN195kuIdPDuKg3r0N4PQ+rcijIr5T/sz9qj/oK6P/AN82v/xuj+y/2p/+gro//fNr/wDG6+g+uS/59y+40NL47Z/4ai+D3+9J/wChV638XPF914P0G2uLPwrd+K7ma48pLa1tpJxF8rHzHCI5C8YzjqwFfLsVv8SLf9pf4ar8SLm1ub4ySG0NqIwBHhs52KO/rX2zdXEVnbyTTyLFDGpd3Y4CgDJJPYVz4STre1esbvrutBI+bfC/9max4n07V/F/hvxbrOtLPGbWEeF7i00uwflQ6R4PTdkvKzEYyMYr6aWuE0P4uaTr1je3sdpfW9pbJbyiS4iC+bFP/q5FGc7T74PtXdqcivQw8IwT5XcZ4/8AtLN/xSmnD1u//ZTXzhX0Z+0y23wzpY9bo/8AoJr5zrsAK+0Ph/8A8iL4e/7B9v8A+i1r4vr7Q8A/8iP4f/7B8H/otaAN6szVGn4iS2hnt5EcTea+3HHAxg5B6GtNq4/xxdW8M2lw3xYadJKxnwGIOEJVTjtnH5V5mYVvYYeUvRff+hrSjzSSK66Y+oXlpK+mWrGDaqst6xwqnjIAw2Peu2HT6V5vfap4fWS1l0cLHqCzxBPs8TJvUuAynjBG0nr6V6P95a8rKFFOrFNN6NtWs97dEbV7+62rHl/gv/kqWv8A+6//AKGtepV4isetyfELWxoUiR3QZyxfbjbuHqD3xW/9l+I3a5gx/wAA/wDia+JyDOp4KjWorDVJ2qT1ik18T63PZxmEVWUZ+0ivdjo3rsvI9QzRmvL/ALP8R/8An6h/8c/+Jo+y/Eb/AJ+YP/HP/ia+m/1lqf8AQFV/8BX+ZwfUV/z9j9//AADz7xN/yMeqf9fMn/oRrMqzqa3K6ndi9KtdiVvNK9C2Tmq1fFyqOpJzaav0e69Tw6keWbje9gooorMzCiiiq1AKwPH3g+1+IHgnXPDV6QttqlnLaNIyhvLLKQr4PUqcMPcCt+itIucGpLoB4X8B7HxXd2eveLPG+j30fiaK0g0L7HPsBuFtEbzZogyqAs8zyODnYw2EdM1R+EumxN8VGv8Awd4Q8SeB/DLWs39t2OsWr2dnLclk8lreBmwJBh9zRgIQeckg19BUV3SxkpOb5fiVvL7gPKfgPouoaPqPxRe/sbizS98Y3d1atcRMgnhNvbKsiZHzISrAMOMqfSvOdD+EmseLvGnjLwzrmly2nhzRbDVLTRdQu7fMc76pL5u+H+EiBIgmM5HmHpX05Va31S0ury6tILqGW6tSouIUcF4iy7lDDqMg5GeopwxtSMpSitXb5W6/13Hc8Q+DOqeJ7PwP4o8deJ/DWpf8JKtpDbnS1sSl5c/ZLVQwRMkt5k5nKY6hlx1qH9n/AMTXHiTxdrGq6/4Z8W2PizVog893rWiTWdjZ20Z/dWcDydhvLersXY+3v1VrPUrTUJLuO1uobmS0l8i4WKQMYpNqtsfB+VtrKcHswPeh4p1FUvCzl+C7CLNFH61XsdStNUjkks7mK6jjleB2hcMFkRirqcd1YEEdiDXm2YaliiiioAKKKKACvdvhX/yJNj/vSf8Aoxq8JrOsdP8A2hZI5G8K6lpSeH2lkNosiQbgu48HehPX1NfR5HV9nXk1FvTp8jSG59bZozXyn/Zv7VH/AEFdH/75tf8A43R/Zv7VH/QV0f8A75tf/jdfc/XJf8+5fcbnvHxo/wCSP+OP+wFff+k71wH7F3/Jvuh/9d7r/wBHvXk/j6w/aSj8D+IW1zUtKfRV0+4N8sa225rcRt5gGEBzt3dOa9Z/YvXb+z/oY/6b3X/o9656dZ1cWrxa0e4zE8eePNX1rxDqmiweFNe0HSobiS3l1ix8NzXl3dBWILwPs8tA2DhzvJDZGCK9B+Ctn4b0/Sry38O+HNY0BVkD3MmtWMtvcXcjZJdml+aQ9ee2cDA4rc8b/ESw8DeSlxaXmo3MkM1ytvYxb3EMW0ySMSQFVd68k8kgDJra07xDbalqVxYxBhPBBDcMGGBsk3bSP++G/KuyFOMavM5XfoI1v4a+PPiw274ja8f+nj+gr7Er45+Khz8RNe/6+T/IV6AHK16n+zif+LgS/wDXjJ/6EleWV6l+zj/yUKT/AK8Zf/QkoA+nqKKKAEr5s+N3/J0Xwe+lx/WvpOvmz43f8nRfB76XH9a87Hfw16r80B9Jr0paRelLXoLYAooopgeC+PP+Rw1P/roP/QRWDW947/5HDVP+ug/9BFYNe/R+BHzNa/tJBRRTI5UmUsjK65xlTkelac0b2MeUfXn/AMXvhfJ8Tl8GpHfLYjQfE1jr7Foy/mrbszeWOeC24c16BRQ/eVhxbi7o8d8Qfs+DVta8ZT2etSaZZa/NY6vbokKyNp2r2zAi7iUjYQ4jh3qwJYofmAIxJH8Hdf8AF+pahqfj3xBZXt5Jol3oNpb6FZNbW9vFclTNN+9eRmlIjjUHIUBTwSc169RWfs43NPaTseE+H/gP4u/4Tn4da54j8W6fqVt4Hiubazt7PTWge5jktTbiSVjI37wjazbQF44XmnaT+znfWvw5vPA93rtm+lWWpjVvD99HYbrq0nF211unDuY5QHYrgKoKkg8nNe6UUezRXtZs8V8ZfBjxF8RfhX4s8K6zfeG9PudYgit7e50XTJIREFdXYuWkYtkrwABjjlq9oVSI8cZxTqKpRS2IlKUtzxD4a/C/4m+B9euru/8AEvhrWl1O/wDtWq6hNplx9vuY93Eav54jQInyIoTaoH3SSSfb6KKcUokScpO7CijminzEhSN0paD92q5oge6eAP8AkUdN/wBw/wDoRroa574f/wDIn6Z/1zP/AKEa6I9q+cn8TPqKX8OPoOoooqTUKKKKAG+lVb6z+2W7RCWSIt0eM4Yc54q2KG6VnKKnFxlsxp2dzlmt9d0rmF4dXhUcxTERS9OzAbSfqB9a0NL15dQkMLWlxZzqu5opo8d8cMMqfwNYd1LcaVrFw9xrdnbmaNNqPH8xClu27pz1rb8NRxJp+6K7F6JJHkMy4wSWJOMdua+WwNSTxHs6d4pXum09n066nXUS5OZ2fpdf8A5H43/8i7Zf9fa/+gPXoFko+yw/7o/lXAfG/wD5F+y/6+1/9AevQLH/AI9Yv9wVz4D/AJHuL/ww/U2q/wC6U/V/oT7R6UbRS0V9qeaeWfG37ukfWX+SV5ZXu3jzwXL4u+xiO7W3+zlidyFt27Hv7Vyf/Clbn/oJxf8Afo/41+f5pl2Jr4qU6cbp27GUotvQ81or0r/hStz/ANBOL/v0f8aP+FK3P/QTi/79H/GvH/sjGfyfl/mTySPLdRsIdU0+6s7hd9vcRNDIucZVhgj8jXzHDq+qa98JLD4RSySL4jGvf8IfqckchjkGnwnzpLhSwJYSWQQZONzSn8fu7/hSl1/0E4v+/R/xri7b9jzSLP4qXfj+HUXTXruyWymVVIgcLgCVkB5k2qqbifuooGOc+nhcvxNJPnp+a23XzDlfY+UfEHh7T/hh8S9Y8SfEDw1Drfhi6v7e40rxhEQz6CqhFitXjyGhhV1Y+ZHlT5g3jk41PE3wL+H2oftAaBFc+EdKmi1DRNVv7tXtwRPOLizxI3q37yTn/aNfRPiT9i8eLpJ7fWPHGtahoE94L2XQZ/Ka1dg4cRlvL80xBgD5XmbeMYxxXVXP7NUd14w07xI+qkahYWVxYRKsf7sxzPE7kjqTmBMc9z+HW8Li0k1F3s1pttp137hys+RvGF+3wx1H4saPpkctvJ4ht7O90mK2VEUXl3tsCIx3bzVikYkY+c5rH8Gxz3vhXwT8LJ557i48O+KpNPv32CPfaaf/AKTAzKT8yOjWWSOu6vrLxp+xnovjvxp4W8U6pfsdT8OymW18oFY5DkMokXPzBXVXUcYZQeelLpf7HOk6X8VdW+IMOpyHXdRtUtZUdd0KBVRd6L1VmWOME55CDimsHW9nZ03zWv03Wi/AfKz5v+I3gjw3cfFTw3b+FbFYPiC2qw6rqGsWoZ57WxBPnefIT9yRV8pYyed+VXCnHR+Lmh8XfGrRLC88s6D4Ns38QXrSFSn21w8VtuBH8Ef2iTIPB2H0r2bQ/wBju68Oa5qWqaf8QNYgfUr0313CbWydZmJzsZ2tzJsA+UDfkLwCKu/D/wDZq1fRLzxTqes6pZvqWtarLcFbcSPGlsgEVsnzEYbykQsAANztjPU5ywGJST5W+VWXe73+5bC5WfD8/wAQtI8YftA/Cnx1d+INOigutQ1K2sbMX0Z+x6eLGRYnmAI2yTSEvg8gNGnVTXuq3U3jr46X8MDMdI8H6b5LNhlV9SuxuI/ut5UCoeOQbmvb/EP7JGneIPFHhnxBNexpfeHZZ5rOOGELG7SwtEwkGDkbWyMYweazvh/+ynqei+AdT03Vdcjtdb1ya7vNTvtJykizzlstHKAp3IpRVcgECNeOK0qYOtKKlCm00rdNNX+g+Vny78AdF034S694U8N6/wDDK38H+LdQ0o2lrr1lcQ3Q1CSGFHuVkZMNGx2huQVYg4bgZ9L8ByQ+MPip408TLGktvpbJ4csrjg58sCS62kgEfvnEbDOCYPavTZ/2PNStdWHic+MbvxV4q0yxuINE/t5Yo7W1kkXBbbbxJy2ArOQzbeBV/wAD/slS+E/hNZ+DU8SXFtL9ikhudTs2dLk3Eu557iORmJV2kd3B7ZGOmKyr5fiKl5qPvOyf36tXd+wuVlCiuouP2Zrq4vkuD4v1SMrpzad5ccpCHd/y3I/57Ds/6da0vD/7P9zoWi2Wn/8ACQTah9liWL7VfZlnlwMbpHz8zHue9eVLJsWlpC/9eouWRwtFelf8KVuf+gpF/wB+j/jR/wAKVuf+gpF/36P+NZ/2RjP5PxQckjzWu0+En/I3Dj/lg/8AMVrf8KVuf+gnF/36P+Nbng34cTeGNY+2SXsdwvlsmxYyDzjnr7V3YHK8VSxEJzhZJ+Q4xaZ3470tFFfpJuJXyz8Mf+T5PiH/ANgg/wDoVpX1NXy38N/l/bm+IIx10Un/AMetK8rGfHS9QPo7xNaRX3h/U7ae0kv4JbaSN7WEgPMpUgopJAyRwMkcnqOteIeFdP0m68RQw6v4s1y1e4urO4Gja5aLZyzXEKp5SNJtAlIKRnCMcsvJOa9h8XeIpdHhMEFhqVzcT21xLHPY2n2hYmjTcAwyPmboqn7xGK8J8M6lpuueLtIvPEfhH4neIdW+1wm3ute0sxWFjLkKJlhRlijC5DFipI25Bz1vEWlOIH00v3RivEf2nm/4lehD/ptL/Ja9uX7orw79p9v9B8Pj1kmP6JXpAeA0jdOPSuy+HN1NJfGyFlpUlku65u7rUbNJvIiUfMdxGfoPUisDxJqVvrGt3l3aWcNhayOTFbwIEVV7cDjOOuKAPsPwWNvg7Qh0xYQf+i1rbrI8Irt8KaKPSyh/9FrWvQBWu4TcW7xrI0RYYDoeR7iuckt9d0kZiMWswj/lnIBFNj2b7rH6gV1DdPeuI1Ka+0nWbi5udb0+ySaNI4xcJjhWc4wWH97r3/Cvns15IKNVp3va6tp63Omjdtx0+Z0Gk69HfTGA21xaTqNzRTRFcc46jKn8DXK/Gv8A5Fm3/wCvpf8A0Fq6Xwu8c1vcTpfw6iZJN7SwY2A4AwBk46etc18bP+RYt/8Ar5X/ANBavFzuU5cP15Sd7x8tvlodeDssZBLujtNB/wCQPZ/9cU/9BFaGBWfoP/IHs/8Arin/AKCK0K+uwf8Au1L0X5Hn1PjYlea/Gv8A5B+m/wDXVv5CvSvSuT8e+EZvFlvaxQ3CwGFyxLqTnIxXPmVKdbCzpwV2zKWx4PRXo/8Awpa9/wCgjD/37P8AjR/wpa9/6CMP/fs/41+d/wBk4z+RmHI+x5xRXo//AApa9/6CMP8A37P+NH/Clr3/AKCMP/fs/wCNH9l4z/n2Pll2PiddWvLD4R6z8N7e6nj1mLXT4Tt334nS2nfzEkUyHLlbRy27uY2x0pfG3hvTPh/8QJ9e8Z+HL/WfB1vHanSNcs7l2Tw+sSKpjeFXDJHuTeZlDZ37W45r6Zn/AGN7Wf4sJ49/tdo777NHFJZomIJpUWWOOd+Ml1jnkQc4wR6VW8afsd6v43udStrv4hanD4Z1Rdl9oCW9u0MiFVVkWRojLGrBeQr9S2MZr344OtfSFk9X3u7bW/AfK+x8+eNvgp4J1X4v+E2fTJJYdcTULu8239wFuHCxsrYEnHLt0wOap+J9YuPgP4q+I1rpa3X2LVvDsOq6BDjzI49RjIs2iQZLMWZ7Jjn+8SfWvrW6/ZlF14g0HVxqaxS6NDPDbwoh2FZVRTnvwEGPrWP8Qv2PbT4ja94U1bUtWeG58O3v2y3+zZQScq3lv6pvSJyPWNazp4TEpqM4Nxtrt3uv8hcrPlPw3Bd+G/hrZ/CibUbzUtSt/FUOhLe+T80ltxfMzZOSv2dZFLDuelX/ANoDRdP0rxRputW+jaxo2sLqFmzePGuJGtNPt/PQSxbEd2w6/u9jRpEfMJZxzn6UX9i+w/4XL/wsdtVeTVvsP2RbVtxt1fATz1XtJ5YMefRjVLxJ+xjqniq4uLXVviPrF34YuLk3U2hPFbhHPn+d5fniLzhEGwNu/hAFzjito4Ot7VTUGlu/V7/1sPlZ5v4+WPxh8UPBfhsuslrpZbxLfR7gR+6Pl2u4ZyP3rM4IHWGvG/FnxG0zxd8WfAPit/FtlDp9v4pbS7DT4tQRUWzFrcedcTLkcyzRoBu4CpHjlzn6+8B/sy+IdL8XeNPEWu6nZve6xeJBZRW7SOlvp0CbYE5A2sWaWRgOMykc4zUnib9jXR/EepeHr1hp9pJouoDUYlt7JFErCKSPY/HK4kz9VFRRwdanLllTbSVr6dV/noHKzwv4halJrXxSEqxi50nwDpE+vSwsSFm1GWORLdTledkInbIOQZUOK86+EPiXS9Pk+H3izxf4Q1yLWfFC28Nt4y1DUoplmvLqJ3EAiSctHCdxWNdgH3cqpGa+vvh/+zXrGjr4lvNav9Pk1LW9UnupVgV3jEAxFbpzjJEMce7AxuLdep5nQ/2GZdDuNGWTxnf61ovh6U3Oh6HqKRG3s5djKhLrGJJAgc7N7HZxjoKcMFUUHSlTdkrfnfbzfUOVnn3hu6Pjz45eIdVX59H8I2w0O1bClXvptst4wIOfkQW0eCOpfHevVKu/D39l3WfDPw1j0S91+OHWrqOea+v7PLst1OzPLJGzjnDudu4dhx2q7p/7L+rWM3hyQ+OdUmGj2EljIkjBlv2ZUUTT5HzyLsyG65ZvUg+fWyrEVJaRslovl/mw5WYtFdd4R/Z51Hwv4csNJm8T3GuSWsflnUNS/eXE3J5dhjJ7Z68DJJyTs/8AClr3/oIw/wDfs/41xSynFptKF0TySPOKK9H/AOFK3v8A0EYf+/Z/xo/4Uve/9BGH/v2f8an+ysZ/Iw5JGJ8LP+Rytf8Ack/9BNe815z4R+Gdz4b1yK/kvI5lRWXYqEHkYr0YV9zk2HqYfDuFVWdzaKaWotFFFfQFHzR8aP8Ak634RDqdsxx/31X0PrEMVxpN5FPbtdwPC6yW6DJkUqcqORyRx17188/F/wD5O5+E3/XCf/0GSvevEGtf2WsES291LLdF445Le2adImEbMDIF6D5ce5IHevJw9lOtfv8AogPCvDWl2UuuJYah45vtMsLhbW3/ALC1rTFtLuQQYaOEzvw+MgEoCW/vHrX0en3a+fLVdN8Ua9Y3PioePdflWVDDazaJd2WnQOJA6OY40UHaR96Qtx16CvoNfu1thdmB4z+03/yL+jD/AKem/wDQK+d6+hf2nv8AkA6L/wBfT/8AoFeU/Dy/na/GnR6dpFxFIxmmutTs1m8iNR87ZPQAAnHr9a9ADkK+0fAfHgjw/wD9eEH/AKLFfI/jDVrLWvEV5dadZR6fYs22GGKMRjaBgEqOAT1OPWvrrwN/yJehf9eMH/otaANo4rH1fTby6kWa0v2tXUY8t4w8bc9x1z9DWxWR4ktLy/0m4hs544JnRl3SAkYIIxwePrXBjIRlQlzJytrZOzNIfEtbGdFrOo6bhdT0ougP/HzZHzE7nJT7w6dgetdDbXC3duk0ZyjruG4EH8jXDrfJfCGyufE2nbRJHmO3IWQlWBCg7/UY6V3oG1eteTlVSVSMrX5V3te/qjatFRt38r/qeYeC/wDkqniAf7D/APoa16n6V5X4L/5Kp4h/3H/9DWvVPSvL4R/3Or/18qf+lM6sx/ix/wAMfyQtNbp0p1JX3D2PLPm3xN/yMeqf9fMn/oRrMr1DVfhJeahql3dC+hRZpWkClCSMknFVv+FLXv8A0EYf+/Z/xr8uxGV4uVWTUHa5hys84or0f/hSt7/0EYf+/Z/xo/4Ure/9BGH/AL9n/GsP7Kxn8jDkkfM3xwtholx4P8cRySRN4b1VBc7ckPZ3I+zzgjIAA3xybjnAjPrXO69pOrfFDxB8Trnw7fm2v9N09PDumXKzbI/tG0T3AWRDlcl4oi2NyMhI6V9R+Lv2cz4y8L6roOoX8LWWpW0lrMPKydrKRkZ4yOo9wK5vw/8AsgT+F/hz/wAIrp3i2+tZzcNePrkSoLyS4a4+0PI3yFDuclSpUgoSpyK9WjgMRGmrw95afK9/+AHK+x86fDPwj8PvFWm6n4LvfBeo+EtZg8m/1Lw7eXcwBbBRbmKRJSsiMwcb1ILEZYdK5fwb8D9M1T4I+Kr7w/b3lt4u87VItPvIb6YyCSC7k8hQHcr1ijXJGfevrbwZ+yZfeG/EF54h1XxhdeKPEFzZx6eb6+gihEdujvIsaRwoiD5nJLEEnjnAxWz4L/ZofwTor6Zaass0LXVxdlpkO7dNK0rDjsC5A9q2qYXFRcvZxb1T/wA9+g+VnxZ4g8fXvxH8ReA/iFpN5NaaX4W0/TdTvLCBDJ5rajIIrmJ5OFbyoVJPoSeleiaDZx/EXUvinrN9a32q6SbsaHZ2NpIbeW4hs0/fIjiRA2+4edOWUELtJ25r1/QP2FtJ8O+C/GHhe31V20rxLPcyzQsCFtlmz+6hC42omTtFaWh/sf3Phb4baT4S0Lxhf6Q2m7nj1SALJcSysXaR5RIrJJvaR2IZcZIIwQDWtTBVbWhTatovTd/iHKz52/Z4urHwxq/xJt2km8LaPaXEFzb+E9TZg+jWwhO+ZnYldszK7kRs0a7eGJLAVofCd942+DY1tNDu9el8Ua3H4gutLjultJpbNpB5Me9pVVSIFh4DDp617H4m/Yf1+68M6/Z2/jGXWtd8VyWljrmtamVgkXTUYiSK3jijEaHy2lAUKNzSszGvTPE/7OesatocOn6L4tk8Kywsvl3Om2sMmEClfLKSo67eR0AI2jntSqYKv7Tnpx1bX4L79WHK+x89fDnxh4V8H+BfF6adoV/4XPheSSTVdJ1CbzpIpPISYESCSUMrIVI2t+ArzabQtS0XTfA3hO60XVPEN14ht9S8Sa9p+lXkNm1/dybGaOeUvEPKVp9vBziOMbWxivo3WP2K9abRxpln4lTUn17W7S+8U6tqQMc9zbwIp2RJCqICxghi2gABHcnJ4PY+PP2V73xfNpd9ZeKrnw7rWls5tNS0+NWZVddro8ciskikAcMpwVUjkClHA1qdTmUG1J6/d9+9/MXKz510/wCJWk+F/gf4ifwnocmhatpF5LokXh+aRJDb6q7KI4QwdkZS80bDa2Np7YIHqHw28GxfD3wJofh6OdrptPtUiluXzuuJj80spySQXcuxGTy1aNn+xnqWj6p4atbXWYb/AEqLVbnX9bv73Aur2+KbYiURAhGWJONu3yowM9u9uv2ddTufF2n63/wld1Bb2ttLbtpMYH2WcuVPmOpGSy7eDnjJ9WzzYjLa8lyU4Ozbf/A/MOR9DlaK0tA/ZV1fRY/DCyePdX1E6L9p81ruUudR83O0XHHz+Xxt7jA5657X/hS17/0EYf8Av2f8a82eUYuPwxuLkkecUV6P/wAKVvf+gjD/AN+z/jR/wpW9/wCgjD/37P8AjWf9lYz+Rj5JHnFe7/Cv/kSbH/ek/wDRjVx//Cl73/oIw/8Afs/416H4P0N/DehW9hJKszxliXUYByxP9a+hyXA4jD13OrGyt/kVCLTdzcooor7k1OJ+NX/JHfHX/YDvv/Sd64P9i/8A5N/0P/rvdf8Ao967z41f8kd8df8AYDvv/Sd64P8AYx/5N90P/rvdf+j3rzJf75H0f5ga/wAbtNiuFtp1utU0i4ks7mybVLHTjewJDIYw0c8Y+bBIBUjGCp5HfV+EsFlLb3moxeKY/FmoTCOC4uoUSNY1jDBIxGv3MZY/MSSSfYDP8e+Lru8s4I7OXxPo0H2q4tbg6XoMl1cyeU4XKtsYIjDJV9uWBBBGDVz4P6VoOn2+qTaPYeILe7uGjN7eeJIrlLm7dV2q5M45wBj5QAPSnGzr3QHpVfG3xPOfiBr3/X01fZDdK+NviQ2PiBrjYBxdvwRkda9IDma9S/Zx/wCShSf9eUv/AKElU7zxLD/wgs01/oGiRXeo5hsfs1gkTogOHmyOevyjHcH0xVz9nP8A5KFL/wBeMv8A6ElAH09RRRQAlfNnxu/5Oi+D30uP619J182fG7/k6L4PfS4/rXnY7+GvVfmgPpNelLSL0pa9BbAFFFFMDPuND0+6kaSaxt5ZG6s8SsT+JFM/4RvSv+gbZ/8Afhf8K06KfM+5PKuxkTeHdLWNyNNtAdp/5YL/AIV83fsG6Zaah8KNZe6torp11qQK0yByB5EBwM9skn8a+orj/Uv/ALpr5m/4J/8A/JJdb/7Dcn/pPBXnVJP61BX6MXKux9Gf8I3pX/QMs/8Avwv+FH/CO6V/0DLT/vwv+FadFejzPuPlj2Ms+HdK/wCgbaY/64L/AIVwXxCWLSNa8Pw2dtbQR3E5WVVt0+YbkGOR7n869OxkV5l8Vf8AkYvC/wD18H/0OOvkuJ69Wjl7lTk4vmjqn5o78DThKulKKej/ACZ3i+HtLZRnTrUnH/PBf8KX/hHdK/6Btp/34X/CtCP7op1fU05PkWpwcsexm/8ACO6V/wBAy0/78L/hR/wjulf9Ay0/78L/AIVp0VpzPuHLHsZn/CO6V/0DLT/vwv8AhR/wjulf9Ay0/wC/C/4Vp0Ucz7hyx7GTJ4f0xVJ/s21/78r/AIVxPwzgh1pdWN7bW1x5NyY490CDavpwK9HkXEb/AErzz4Q5263/ANfjV8jmOIqwzfBU4yajLnur6OyVrno0KVOWGqycVdcv5na/8I7pX/QMtP8Avwv+FH/CO6V/0DLT/vwv+FadFfXcz7nncsexBb2sVrGscUaxRr0RAAo+gqeiikUFFFFABRRRQAlMkYIpZiAO5PSn1HLGs0ZR1DKwwQehFS7203A5LUft1vrst5YwWdzDPBGCZZ9hyC3I4PGDXQ6PLcT2aPcxRQzc5SF96jn1wK4zxZujvPJs9L0147cQRFryMnHmPtQKAOFB/rxXSeD5HfRwksNvbypJJG8dqpWMEORxXx+X1f8Ab501e2r8r31todtSP7pM5f43f8i9Zf8AX2v/AKA9egWP/HvF/uCvP/jf/wAi9Zf9fa/+gPXoFl/x6xf7oqMD/wAj3F/4YGtX/dKfq/0LFFFFfanmiUZrzv4ta5f6Mummxu5LUSGTf5Zxuxtx/M153/wnGvf9BW4/76r57F5zRwlV0pxbaJckj6I/Gj8a+d/+E51//oK3P/fVH/Cc6/8A9BW5/wC+q4v9YqH8r/An2kT6I/Gk/Gvnj/hOdf8A+grc/wDfVH/Cc6//ANBW5/76o/1jw/8AKw9oj6H/ABpfxr53/wCE417/AKCtx/31R/wnGvf9BW4/76qv9YsP/Kw9oj6HyOuaM/lXwx4X/aO8XaP4G8ft4r12SbX/AAddXkNxLGEQ3MW3zrSRYwcKZIpIgFzksDzXO6p8cviovizw14T1L4k2PgfUp9Etb37Ze6WJl1W+aRkngTdIigJiP5FIcmUYOK745pTk2nF6f1oPnR+hJo4+pr89/in8QPjv4X8R+FI7D4r2cFv4j1mPSlth4cRhZk28spcM0xLjMJAU4OG68c9L4Z+NfxA8I+PtU8M+NPGA1qOHw+us22oWtj9l80RyulySgLBcBoMAMepPfAbzSlyqUVe+tuvYOdH3H0pa/OXwl+118Rbz4F+ONU129ktvG+kOsFpb2kXmM73scT6cTFjglrmNCvP+rYnmu18VfGj4seHfHnw/0yXUrSLQtRvxp97dCQyXN7J9jklLKm0LCgeMjqzN/sgfMpZpCMmnF9fwVw50fcuaOK+d/wDhOde/6Ctx/wB9Uf8ACc6//wBBW5/76rzv9YqH8r/AOdH0R+NFfO//AAnOv/8AQVuf++qP+E51/wD6Ctz/AN9U/wDWLD/yP8Be0R9D/jR+NfPH/Cc6/wD9BW5/76o/4TnX/wDoK3P/AH1S/wBYsP8AyMPaI+iPxor53/4TjX/+grc/99V1fwz8TapqniYQXd9NcQ+SzbJDkZ45row+e0MRVjSjF3Y1NN2PXqKKK+mLEr5d+G6n/huXx+ccf2Kf/QrSvqKvmL4d/wDJ8Xj7/sCf+zWleZjPipeodT2z4paXr+s+CtTsfDl3ZWeoXEMkPmXyOV2sjLhWRlKNkrhjkDng15hpviK51r+wtD1H4oeA8293Zk22mnN5NJFKjCEFro8sy7ThcnJ45xXr3j+OCTwR4gS6vf7Otm0+cSXhziBfLbL8c8Dnj0rymD4Oz22vaRqPh3S/D9tp9yNNuZ76IeVLavA+6XyAI+Vmj2Jyw/iJBzTrxlz3jr8/0A94XgAV4Z+1C3+jeHR/tz/yjr3NfuivC/2oM/Z/Dn+9cfyjr0gPJtF8SafY+H7rS7vTJrgXMyyyzQXQiLqo+VCCjcA5P1I9BWLqEtrLdO9nBJbW+Pljll8xhxzltozz7VWyKWgD7b8Krt8M6QPSzhH/AI4K1azfDY2+HdLHpaxD/wAcFaNADWHB+lcbrVjfr4gN5bWNrewyQLG32iUKVIZiNvyn+8f0/HsT8ynNcD4itbG3vvssOiWt0LaGIM0zlAiu5VVUBTnnJr5vO/doKT2Tv8/uZ1Yf4rf1+Z1egGf7K32izhs5N3+rgfev1zgVyPxs/wCRZtv+vpf/AEFq6HweqQ2dzAtlDYGKUq0Nu25c4BznA6giue+Nn/Is23/X0v8A6C1ePnE/acO1pP8Al/rojrwatjYLzR2mg/8AIFsv+uCf+gitCs/Qf+QPZf8AXBP/AEEVoV9fg/8AdqXovyPOqfGxab9aWuB+K2uX2jWdi1jcvbtJIwYr3AFVisRHDUnVkrpGV7HffjRz6188/wDCeeIP+gnN+lH/AAnniD/oJzfpXzv+sWG/lZHtEfQ3PrRz6188/wDCeeIP+gnN+lH/AAnniD/oJzfpR/rFh/5WHtEfQ2KPxr55/wCE88Qf9BOb9KP+E88Qf9BOb9Kf+sWH/lYe0R9DfpRxXzz/AMJ54g/6Ck35ivLvD/7T2v2PhHx1f+K9SFvqXg27u49QigHlh4VXzbd0VmJ/eRMgBONzbgK2p55RrJuEHpb8Q50fa3X60cV+fUf7RPxevNe8NeF9R8VaF4N1+80S31MnVNPkkS/undvMtIR56gCMbFf5mclgVGK3vi58avi54J1bwp/ZnirRRZ+INctdEWC50eaV7YyROzSmQXSiTDRHC7F4YDPGT2f2lSTUWtWPmR90Zo4r420n41ePdH+I8HhbxFrdneJc6IdQt76zt2tvNnjnZJ0ETSSYVY5Lc53dS3rgcL4X/bE8ba58HfGfiSWOSLX9LuWh03T9uGuUuAj6e5Qtn51mizyMkNjFR/akHrGLa0/EOdH6BfjS8+lfCnxN/aE+K/gPxJ8O7OObTZdI1jWbPRtR1CQuJpppY2ZmghBIiQeU/wB92PzKMcEn2X/hPfEH/QTn/MVhWzqjRjGUovXsLnR9DfjRivnn/hPPEH/QTm/Sj/hPPEH/AEE5v0rn/wBYsP8AysPaI+hvxo59a+ef+E88Qf8AQTm/Sj/hPPEH/QTm/Sj/AFiw/wDKw9oj6G59aPxr55/4TzxB/wBBOb9KP+E88Qf9BOb9KX+sWG/lYe0R9DY/OjtXjnw98Wavq3ii3t7q+knhZHJRiMcLXsfavcweMhjaftIJpeZafMLRRRXojPmn4ufN+118J1HJFvOcf8Bl/wAK9y8cQ+ILrw3dReGJbGDVmXakmoBygBBzjYQQ3TB6V4f8UP8Ak8T4Wf8AXlc/+i5q+gPESo/h/UhJdGwjNtIGuh1hGw5f8Ov4V5GHXv1vX9EI8R0DxB4yjsdH8Oa3478E2d3Cttb3arcyNqe5doZSTNgysRgnGCSeO1fQC8cV836Z8IJf7O8MXOgeG/DepWmoabpfnalGwhNnLCTI9zFmLdIJAy9w2VGevH0gvC10Ybm1uhnjH7Tn/IB0X/r6f/0CvGdB8RWGl6Jf2Fxp88sl46+ZdW9ysT+WvIj+aN+CeTjGcD0r2b9pz/kA6L/19N/6BXzvx0rvAs38lpJcE2UM0EGBhLiUStnudwVR+lfZvgn/AJE/Q/8Aryh/9AFfFVfa3gr/AJE/RP8Aryh/9AFAGxVDWYftWm3VuvLyxOgGcclSOvarzfNWVrsFoLOW9urdZxawyMOOdpX5gPqOK5MVf2Mku3/Dlx+JHP6XHqsK20U2i6aCu1XkScdupA2fpmu07GvNIrW3s51lk8O6dCI3iLss5LJvIAP3OcZr0r+H04r5/I6nNTnDt+X3I6sRFJprr/Xdnl/gv/kqniH/AHG/9DWvVBXlfgv/AJKp4h/3H/8AQ1r1QVw8I/7nV/6+T/8ASmb5j/Fj/hj+SFoopnWvuTyx340V4Rr/AI01u11zUIYtRmSKOd1VQRgAMcCqH/Ce+IP+gnP+Yr5aef4eEnFxehHOj6G59aOfWvnn/hPPEH/QTm/Sj/hPPEH/AEE5v0qP9YsP/Kxe0R9DYoxXzz/wnniD/oJzfpR/wnniD/oJzfpS/wBYsP8AysPaI+hqP1r55/4T3xB/0E5/zFcT8Xvjp4q+HPhWLxDHqBfT7S9txqbS/wDLO0eRUkkGOhTcG78AjHerp5/QqSUIxd2PnR9d8U6vjDxx+0F420fx5pWhaG7aokelXutaqrFhIIY0228cRCkb5JjjnJ2xtwa5z4R/G/4qfFLwjHr9j8RPDV1HqFqrm3t9JlZtJusITA4+0gyADzAd3ltnaw4+WuxZrS5OdppBzI+8OKK+Dfhv8aPjT44uPG0b+LfD8Z8P6vdaJFGuizL9olS3jeOUsbpti75lyu1jhCARnIyPFH7aHi7QfhT8OvEkdzGNW1yWNtUtLpGX7PbwoTfyIoOf3bLtGSfvrmreZU+blirvT8Vf8g5kfoTxRxXxzffG/wAe6h8SNU8OaBqVo0NjoAvWlvg/y3kshW3Vtv8Ayz2xylsc/dxVDwV8Y/iZp/xO1Dwb4o8SWOukaVHq8N9pti1m0W+d4zE8bSyAr8vytkE4YEcZrL+16PK3Z6K9vIOdH2tz60c+tfPP/CeeIP8AoJzfpR/wnniD/oJzfpXH/rFh/wCVi9oj6G59aOfWvnn/AITzxB/0E5v0o/4TzxB/0E5v0o/1iw/8rD2iPobn1o/Gvnn/AITzxB/0E5v0o/4TzxB/0E5v0o/1iw/8rD2iPoaivnn/AITzxB/0E5v0r1/4e6hcap4VtLm7maedy4Z26nDkCu/A5tRx1R04JppX1HGXMdRRRRXulnE/Gv8A5I746/7Ad9/6TvXB/sX/APJv+h/9d7r/ANHvXe/Gz/kjvjr/ALAV9/6TvXBfsXn/AIx/0L/rvdf+j3ry5f75H/C/zEafxAu/HujeMotVtNa8LaR4YjtpokfWXmjQO7QbfNxIoZ8q+0jGAWB5Irb+F2q6lrs2q6hqXiTQddlby4kh8OSs9vAq7jltzsd7FjnoMKKofEnwXYeNvGVhaXn2G7kOh6jFFaXy7zE7tbhbhFKkfKflJyD8wxnmn/B/wfqPh651i7vfDel+FTcrBALPS5llSZogwM5KogG4Mo29fl5pxUva91fuM9PPSvjT4iMv/Cfa4WXcv22TK5xkbume1fZbdK+MfiFz4617/r9l/wDQjXpgTeJvE2k+JJ2nOl3lrKsKwwRx3qeRCqrhQE8nO0dcbvXmus/ZxH/FwJf+vKT/ANCSvLK9S/Zx/wCShSf9eMv/AKElAH09RRRQAlfNnxu/5Oi+D30uP619J182fG7/AJOi+D30uP6152O/hr1X5oD6TXpS0i9KWvQWwBRRRTAKKKQ9qAIrj/Uv9DXzN/wT/wD+SS63/wBhuT/0ngr6ZuP9S/0NfM3/AAT/AP8Akkut/wDYbk/9J4K8yp/vcPR/oI+n6KKK9MY0968w+K3/ACMXhf8A6+G/9Djr08968w+K3/IxeF/+vhv/AEOOvjOLP+Ra/wDFH80ell/+8L0f5M9Oi/1Yp9Mi/wBWKfX11P4InmhRRSZFagLRSbhS0ARzf6t/pXnfwg+7rf8A1+NXok3+rf6V518H/u62P+n1q+LzNf8AC1gX/j/JHqYf/da3/bv5npNFFFfaHlhRRRQAUUmaWgAooooATtVa7aSO3dok8yQKSqZxk44GatVWuphbwvIQzhFLbVGScc8e9ZVHyxbbsNbnAf25faq00N3p+mW00yCOSG8kdGZew5TDDk9Cetdd4bsG03SYrc20Frtz+7tmLJ165IBJ71w2oeN4dfheCcx6dbOCCJLSSeX8tu0frXY+D47WPQbcWU81zb5bbJcAhj8xzwQMDPt0r4rKJqpjHKMnJWer069rXPRxCcYWatrscv8AG7/kXbL/AK+1/wDQHrv7OT/RYh/sj+VcB8b/APkXrL/r6X/0B6gh+HfiGSFGXxPcAEZA3Px/49XlSxmJwefYn6vh3UvGN7NK33nUqMKmDp881HV738j07cv96jcvqK81/wCFb+Iv+houf++n/wDiqP8AhW/iL/oaLn/vp/8A4qva/trM/wDoAl96OX6rR/5/L7mV/jX93SfTMuPyWvLq6vx54b1Hw/8AYTfarLqQl3hRIWITG3JGSeuf0rlK+SxuIrYnESqVqbhLs2n+R5leEac7QfN5/wDDhRRRXCcoUVHcXEVnbyTzyJDDGpd5JGCqigZJJPAA9TVaTXNOh0d9Xkv7VNKSH7S180yiAQgbjIZM7Qu3ndnGOaqMXLZAXaKwLn4geF7LWLTSbjxJpEGq3io9tYyX0SzzK2dpRC25gcHGBzisq8+N3w70+8ms7rx74YtbyCRopYJtZtkeN1OGVlL5BBGCD3rWNCrLaL+4DiviP8H9b8WfFDTZ7Q2g8F6m1pJ4kt5X/eTNZyPNbqqbcEO/lq5JztQCrnxp8P8Aivxtp+p+GIvBHh3xNoeoQGO2vNS1JoDZSGPb5kkfkuSVYllaNg2PQjNemaf4i0rVob2ax1KzvYbKV4Ll7edJBBIgBZHIJ2sAQSDgjNIvibR20e31carY/wBk3IjMN/8AaU8iUSELGVkztO4soGDyWGOtdixNWLhePw6L9Pn+hZ554g+GOs3ml/CSzivF1KXwrqlrc6he3LlXnSOynhaQAkkszyKcE9zzVf8AaC+F+u+Pv+EdvfDU0cOpWclzYXYluWgD2F1C0c+CFJLqwhdenKV36+PvDDeIv7AHiPSW1/n/AIlQvojdcDJ/dbt/Tnp0qXxP4u03whDpz6jN5Z1C/g021QY3SzyvtVRk9huY+iox7ULEYiM4Nx1V7ab33JueY+LfgzqWtfF7wxqds0P/AAiVuLW51K3aUpI1zZeabMqFHzfPMrEscYhUYqX4uab491rxp4WudB8K6fqWmeH9RGorcXGtfZ3uSbeWIps8ltmDLnOTnb0GePULrxNo+n61Y6NdarY2+rXyu9pYTXCJPcBQS5jjJ3MAMk4Bx3qHXPFFloOo6NZXKzPcarcm2t1hiLgMI2kZnP8ACoVDknuQO9OOJrOUZON7J2/Vhc0NNkuZ9PtZL23W0vHiVpreOTzFjkIG5Q+BuAORnAzjOBViuZ8N/E7wd4wv2sdB8WaJrd6qGU22m6lDcSBAQC21GJwMjnpyKuz+LNOh8XWfhsyM2q3VlLqCxqOFhjeNCzHPGWkUD1w3pXDKlPmacbMRs0UUViAUUUUAFdr8JP8Akbv+2D/zFcVVebwH4g+IN9bWXh7xXd+ErqMNK1xZs6mRcY2kqQcc9M4/IV35fJxxNNxV3cuO59WhqMivl7/hmP4o/wDRata/7/3H/wAdpP8AhmP4pf8ARata/wC/9x/8dr9O+s1v+fT+9HQfUOa+Yvh6Cv7cXj330PP/AI9aU3/hmP4o/wDRata/7/3H/wAdrm/2d/DOqeD/ANrDxbpOs63N4g1GDQm83ULhmZ5cyWxGSxJ4HHXtXFXrVKlSkpwcde6A+r/E0lpD4d1OS+ma3s1tpDPMmMpGFO4jPoM14j4Hj07TrSK48/x3plrpupWNnHp99qiONs7ReSzorkCMmRAUzkA4x1A9u8SHT/8AhHtRGrNGml/Z5PtbTEBBFtO8nPbGa+bvCP2aTxZpc+sal46j8O6pqEElmmr6PDa2088OxbQTTIPMxlY9oYIHYAnNd2IdpxA+pl+6K8L/AGof+Pfw7/vXH8o690X7orwv9qH/AI9/Dg/2rj+UdekB594XuNW0vwet34djY6nLqDQ3EkEQklEexDGpyCQpbf8AXv0rF8fw2kHiq8WzVI49sZdIwAqy7F8wADgAPuHHpWFHNJDnY7JnrtOKZ97ryTQB9w6Cu3Q9OH/TvH/6CKv1S0cBdJsQOnkJ/wCgirtADG4Q4Ga8+l1qfVJ5obnS7SCeVfIaG6uWjZ1znH3MHr1BPXjrXoEjbVLeleYap8QrTXN8Ei29pb7ipa8geZ+COQqjH618nntSMIwTnZu/u2vf/I7cNFybajfz7Hb+F7FtP08xNaxWh3Z2xzNLnPcswBJrlfjZ/wAixbf9fK/+gtW74DW0XQwtnfT38Suf3swKnPcAEDA9qw/jX/yLNt/19L/6C1ednV48OVbK3ubafpodOD/36GvU7TQ2H9kWXP8AyxT/ANBFXt49a8p0/wCH3iK4s7eSPxLPGjRqyoHk4BHA+9Vn/hW/iX/oaLj/AL7k/wDiqnC51mCoQSwMnouq7CqYajzv98vuf+R6Z5gHevNfjUwbT9Nx/wA9W/kKZ/wrfxL/ANDRcf8Afcn/AMVXM+OPC+q6BbWr6hq0mopIzBVdmO0468k1ljM2xtehKnUwcop7ttWX4nPVw9KMG41U36M5Ciiivkzxwooop7gFFVk1Ozk0/wC3pdwvY7DL9qWQGLYBnduzjGO9UbrxhoNjdWNtc61p1vcX+DaQzXcaPcZGR5YJy+R6ZqlCT0SA168M+Jvwd1bxB8W9PvtLtom8K+Io7WPxWh8pQ/2KbzrZmVgTJ5m5omx0VV5r1m48beHbOeSGfX9LhmjYo8cl5GrKw6ggng1oWOqWWqLI1ndwXYjbY5glVwrYBAODwcEH6EV10Z1sK3JR37oDyX47aP4j8aabqHhZPhzYeLdKvIM2eqTalDELG4KlRLIkgDqULFg0W9sDGBmneLvhp4ju/C/we0xZjrl74a1zTbrVdQllCtJHBbSxyzne2WJZlOMk/N9TXq0WtafNpq6hHfW0lgw3LdLMpiIzjIbOMZ4qvJ4q0SHWodHk1iwj1aZTJFYPdILh1HVhHncR7gVrHFVeWMYx2v37WHqeY/tIeA/FfizSdMu/BUSSa8gudMkZ5khCWl3A0Ukhduf3beVJheSY+AaxPEPwN1K0+MXhi48P2NqPBFxaWUetxsR5kcmnMzWTAltzkiQLwD/qgT2r2nxF4m03wrZwXWqXS20M9zDZRZUs0k0riONFUAklmYdBxyTgAmrlxqVpaXFtbz3MMFxckiCGSRVeUjkhQeuPaqp4uvTpqMVpr/Xy3KPEf2hrHxv4i8QeCoPDfgO512w8P+ILTXpL6PU7SBZVjjmVoVSSRWDZkHJGOK9u024nu9PtZ7m1ayuZI1eW2Zw5iYjJQsvBIPGRxxVLXPFGmeG201dSuhbvqV4lhaLsZmmncMVQAA9lY5PACkk8U/8A4SbSG1r+xxqtkdW2eZ9g+0J5+3+95ed2OOuKwq1J1aUIcmkb66kGlRWdfeILDT9W0/S5rgLqGoCRra3wS0gjALnjoACOTxyB1IrRrjcWtwCiiipAKKKKAOs+Fn/I42v+5J/6Ca95zXyZfeCfEPju8stP8OeKLnwteqzSG6ty6llC9MqQ34A49atf8MyfF3/otWqf9/7n/wCOV95klapTwzUYN6nRDY+qc0Zr5W/4Zj+Ln/Ra9U/7/wBz/wDHKP8AhmP4t/8ARa9U/wC/1z/8dr6H6zW/59P70Wa3xOPmftjfC1R1FjcnH/bOf/CvofUnhj0+5e5kWKBY2LyNgBVwck544HrXxp4d8A+Jfh7+1h8PbPxP4ruPFl1NbXMsV1cPIzRp5E42fOxOMjP419k6pHazaXdLe+X9jeJln80gJ5eDuyT2xmsMHJydWUlZ32+QkeLeAdW0mLR5ZNO1HxjYaRpbW7Qw3wgSOWCZ8RPGhG4Q46KQpC4AUcCvd1+6K+T/AAzqVhP4gs7eTxB4zbwfdNawRahqHhwQWd3FGwFrG13tDbSxVdxVS+Rk85r6wX7orqwkrpjPF/2nP+QDov8A19P/AOgV5n4Z+16f4DudQ0W2WbV/7REMsiwrPJHAYsrhWB2gsWye+AK9N/aa/wCRf0X/AK+m/wDQK+eobiW3yYpHjJ67WIzXoAdH8Q7eC38QIIoYra4a0ge8ghQKsdwYwZF2jgfNnIHQ19Y+Dxt8KaOPS0iH/jgr4oJLEk8k8kmvtrwsNvhrSweotY//AEAUAajdOlc94s1a4023jWOw+2xTEpLuJ2opH8WFJwenSuhPeua8YeKofDFrC8kTTNM+xAAcDuSxwcflXl5lNU8LOUp8vna/4G1GLlNJK5jWdv8A21dWtwNO0+48jaiyRXzttVTxkbece9d4v3Pwrym31bTda1m0urjU1s7gOAsdhBIpY8fK0hXkfgOteq9j9K8fIpc1OpK2/XTXTey2+ZviVytI8u8Gf8lU8QfRv/Qlr1LcPWvEY9Fvte+ImuQWF+2nyqzO0qFgSNwGOCK6D/hWviX/AKGi4/77k/8Aiq+O4fzLG4ajVp0cLKcfaT1TSXxPu7nq4yhSnOMpVEnyx0s+yPT949f1pCw9a8z/AOFb+Jv+houP++5P/iqT/hXHib/oZ7j/AL7k/wDiq+n/ALbzH/oAl96/zPO+rUf+fy+5/wCR574m/wCRk1T/AK+ZP/QjWZVnVLaWz1K7gmmNxLHKyPK2csQTk81Wr4ipOVSblKPK307eR400oyaTuFFFFQQFFV5tQtbe7t7SW6hjurjd5MLSAPLtALbV6nAIzjpmkl1K0guvs0lzDHceWZhC0gD+WCAWxnOASOelVyvsBZrN8TeH7PxZ4d1PRNRVnsdRtZLSdVODsdSrYPY4PWqtr468N32nyX1t4h0q4so5TA9zFexNGsg/gLBsBuDx1qS38aeH7xisGu6bO2QNsV5Gx5IA6N6kD8a1jTqRfMovTyA8v+AvgPxl4P0LW9R8WxW954uMUOl27G6Zkuba0jMcEjvlsGVjJISV3AycjjFReB/CviHWPi8njC98Cw/D8LYS2+pNHfwTyavK5XZuEPDLHtJEj4f5gAMZFeyzaja2t3bWs1zDDc3O4QQvIA8u0ZbaOrYHJx0plzrFhZNOtxe28DQRiaUSSqvloSQHbJ4UkHk+hrseLqScpcuslbrt5FnA/Bnwfq/hO++Isuq2v2ZNY8V3Op2REiv5tu8Fuiv8pO3LRvwcHjp0rivC/wAE9aufiF46g8QxKng9rO+s9CaOZZHcajL5145BJZGVo41AIAwTjNe4aLr2meIrFL3SdQtdTs3+7cWcyyxt9GUkGqSeNtDa61eA6jDE2kyxwXsk2Y4opHQOqeYwCltrKcAnG4ZxkVUcVXUpOK1dr6bWt/XzJ6nl3wf8P/EDwj8N/EWp67pQvfHZgjgtLCS+idbn7NapFFmUYVRLIryHJ+XzecYpnwFs/GWmavqcvizwLeaXq2rf6VqXiK61WzuBcSrhY4UihdikaqSFHQAHJJOT7Lpuq2WsW/n2F5b3sG7b5ltKsi5HbIPWs3T/ABxoGqQ6xNbarbNb6RdvY307PsjgnRVZ0LthTtDrkgkA5B5BATxFSop3h8W++nZBqblFVNL1iw13T4r7Tb231CylGY7i1lWSNx6hlJBqDw/4k0/xVp5vtLuPtdoJpYBMqkKzRyNG+0kfMNysAw4OMgmvO5JJNtbCNKiiioAKKKKACvdvhZ/yJVl/vSf+jGrwmqGn/AP4keKI5NU0b4q6joum3MjtDYxyzqsI3EYAVwv5Cvo8kqShiG4R5nb/ACNKe59aZozXyt/wzH8W/wDoteqf9/rn/wCO0f8ADMfxc/6LVqn/AH/uf/jlfdfWa3/Pp/ejc90+NJH/AAp/xz/2A77/ANJ3rgv2Lv8Ak3/Qv+u91/6PevKfH37PHxP0PwP4h1C++LupalY2mn3FxcWUk9wVnjWNmaM5kIwwBHIxzXq37F3/ACb9oWf+e91/6PeuanUnUxcXOFtGI2/jRqGj6Xf6LeXP/CQSatZx3FzBH4dVPOSBQvnSSM+FEQ+QFWbDEr8rFRjqvCMsVvfX+nnU9T1GeOKG4Lag0Zwkgbbt2Ad0bOR29K4f9oCaxt4rDZea1B4gura5tILXQtMF/Pd2rGPz0MRGNowh3blI7E5IN/4F3kWpWuqXc+patfa9mKG8t9a04WFxaRqGMMfkgcKVYsGy2d3XOQOmMv8AaHEZ6s33TXx34pjtrj4najHdtstG1RlmYnGEMmGPtxmvsRulfF/j7/keNe/6/Zv/AEM16YHeaok0s/jKw1Owt7fQLK1mbTX+zJGqSB18gxyBckuvPX5smq37OP8AyUKT/rxl/wDQkrzF7mWSNY3ldo16KzEgfhXpn7OP/JQn/wCvGX/0JKAPqCiiigBK+bPjd/ydF8Hvpcf1r6Tr5s+N3/J0Xwe+lx/WvOx38Neq/NAfSa9KWkXpS16C2AKKKKYBRRSN0oAiuP8AUv8AQ18zf8E//wDkkut/9huT/wBJ4K+mbj/Uv9DXzN/wT/8A+SS63/2G5P8A0ngrzKn+9w9H+gj6fooor0xjT1rzH4rf8jF4X/6+G/8AQ469OPWvMfit/wAjF4X/AOvhv/Q46+M4s/5Fr/xR/wDSkell/wDvC9H+TPTYv9WKfTIv9WKdkV9dT+CJ5otMk+6afTJPun6VqI+U9R8f/ELU/GXiu10/xXb6Xp2l6hJAv2xI1VVMjqigiNieFPX0qP8A4S74j/8ARSNF/Nf/AIxWHqH/ACHPib/2Gh/6Onrnq97EYn2EowjCNkl0XZM8DDYb28HOU3e76vud9/wl3xI/6KRov5r/APGKrWevePtPVxa+PvD9tvO5vJRE3H1OLfk1xVFcbxik1J043Xkjs+opKyqS+9ne/wDCXfEj/oo+i/mv/wAYpf8AhLviR/0UfRfzX/4xXA0Vf1+X8kfuQfUI/wA8vvZ3v/CXfEf/AKKRov5r/wDGKfH4p+JU0ionxH0VmYhQuV5P/fivP6s6X/yErT/rsn/oQprHu/wR+5C+oL+d/ez3X9nXxn4m8UX3ia18Rag1/NYSRxL8iKFbLhsbVGfujrXuHpXz/wDs0/8AI2fEH/r9T/0OWvoA9j2rHMIqOIairLTb0Ly+UpUFzO7u/wAx1FFFeeekFU9Qtft1q8PmyQ7xjzIW2svuDVtar3lut3byQsWVXXaSjFSPoR0rGpHmg42uNbnOR2ut6WcLLBq8HYTARTKM/wB4fK2B7D61o6Trf2+Z4JLK6tJkGSs0fyn6MMg/nXK6tpjW181tp1tqGpSxqHk3ao8SoDnaOScng11HheSOTSkEaTRlGZHW4lMjhgxBBYk55zXymAqT+texj7sVfR6p90nZfmzsqxXLzb/16nJ/HD/kXrL/AK+l/wDQHr0Gz/49Yv8AdH8q8++OH/IvWX/X0v8A6A9eg2P/AB7xf7grPAf8j3F/4YGtX/dKfq/0LFJzS0V9qeaeV/G77ukfWX+SV5bX0D4w8FweL/snnXEkH2csR5YHOcev0rmv+FLWX/QQuP8Avla+EzTK8TicTKpTWjsZSi27o8jor1z/AIUpZf8AQRuP++Vo/wCFKWX/AEEbj/vla8n+wsZ/L+KJ5GeP3FvHdW8kEyCSGVSjowyGUjBB/CvlfThd614btfgTcOLi70vxIum6iWGN+hw7b2J/3ZGwSQmCAZz/ABZ65H6E/wDClbH/AKCFx/3ytYK/sweFI/GD+KljI8QtaCxOobF8zyQ24J9M/j09BXo4XLMXQUlKF+q1W/QORnx74ssbv9nvXPFfjS8sbHxN4F1bUYdT1DzlA1LTJT5ce6MkFZYlKIVT5WXccE456rXvDulTftCeFQ+mWbrL4c1aRw1uh3t9osPmPHJ5PPua+grv9jfwNfam17cLeTs139uNvJcyNbG43bvNMBby927nO3rzXSTfs86FNrlrrD3Ezana28lrDcEDckUjIzr9CYkP/Aa6ZYDFWT5dbNPVLpZf8OPlZ8Q/FTU08E+KviD4ftpI47zx5Z6emnxvclGa6mkXTpCi9giNA5I54NZngezja+8L/COV2lPhHxTcTtHc3H757C2RbqzkAUfdBurZcH/nma+4Nb/Zb8JeJNe0bW9Tg+2ato0jS6fdSRrvt2YYJH/1+h5FLZ/st+EtP8ZX/iu3RovEV9Altc36qN8saY2qe3GB78CrjgcR7JRcNbd1utF+AcrPlbx9pemfELx9o/hPQNNiS50fVLbW9a1q2jVPsexvMWESAZM0pABXshYkjIzq6ozeKPjhFczRSy6R4H0yS6CxIzGS/uVKggA4Ypbq4C4zm44r6FsP2RPB2mahLe2c2qWs81017L5Go3CJJMzbmdkEm05PbGPwqXwP+zHaeEpNfurnXJtR1HWNUn1Ge6W2SL5WIWGLAzkRxLHHknnaTxnAyllmIUfdV7Kyv57v7g5Wfn/N4th1D47fC7xfrltrEGt6lquok2Mmi3yNp9n9gkjt7ZA8fztkmSQxjG+RyflANe6aHM3xC+N3iPUQQ2j+ErP+wrVhtYNfzhZbtgQcjZGLaPBHVnr6e1X9mzw7rWraRqt28k+paQ8slhcMozA0kZjcgD1Ukc+tYvg39lLSfD/gObw3qWrXGsC++0NqM/l+ULp52dpjjcxUHeQBuOBgZ4rSpgMRUinGFmlbdaK/T5aBys+WvhnJrfwd17wD4A8RaT4euTqWnyWFlq+iB0mVrS3Vn89XX5g6j7ynqBleeOu+F91/wmHjLxt4uUE2LXg0PTpDnEkNoWWVxyQQbhpwGHUIK9ub9jzwzp7XeoaNfXlr4kaymtLLWNQlkv5LLeOqCVzgA4JUFc4xmrnhn9k3wv4d+Gdn4H86afRobD+z5oyip9oUqRI7bQPmkJZmI6liayrZZXmnKMfelZP82/yDlZyNFd9N+y74VuLpLqTzjPHYNpavuIxbN1jGD04HPXjrWhof7P8AovhvR7PS9NuZ7aws4lgghUAhEUYCjPPArzJZHibXjHX1QuRnmNFeuf8AClLL/oI3H/fK0f8AClLL/oI3H/fK1H9h4z+X8UHIzyOu0+Ef/I2j/rg/8xXUf8KVsv8AoIXH/fK1reGPhvbeF9U+2xXU0z7Cm1gAOcf4V24LKMVRxEak46J9xxi0zs16UtFFfoZsJXzH4H/d/tyeNQOjaFz/AN9WtfTlfMfgn/k+Xxl/2Av/AGa2rzMZ8VP/ABIR7d8TfEGh+H/Bupv4h1C007TbqF7QyXqGSN2dSAnlqQ0mRn5VOSAenWvF9JuL3xtcaH4Zg+Ktj59m0V3b6fdeF5rV7oQ4aPPmTqZApCvhT/CCcivTfiYo0rxV4T8SXOkTavp2ltdJO1rE00to0iKFnEaglgNjKccjzMgVjeLPFmn/ABCutA0vQNN1C9v4dWs703UtjNbR2cUcqvK5kdAMlFZNvU78VNa0p6vbprqM9L8O2mqWOlRwaxfw6pfKTvube1NsjDPGE3vjAx3ryL9qD/j38O/71x/KOvdF+6K8L/ah/wCPfw7/AL1x/KOvTSsrAeS6X4PF9oaatc6naadaPctajz95YuFU8BVPGG6+1ZOsaZNouqXdhOVM1vIY2KHIOO4PpWhJrkD+D7PSQknnxX8t0zYG3Y0cagA5znKHt+NV/E2qR614gvr6BWSGeUugcANjA64J/nVAfael/wDIMtP+uKf+girVVtP4sbYf9Ml/kKs0AVL+2a8tJYllkgZ12+ZGcMvuPeufjt9b0p8b4NXt/wDpoPJmH4j5W49hXRXEIuInjLMoZSpKnBGfQ9jXCaro8drfGzsI9W1G6WMSuBqTxoqkkDLFupweAOxr5rN/3ajWUW2tLp6+lrO510LO8W/w/U6jS9eS9uPssltcWlzt3mOaPAIGM4YZU9R0Nct8bP8AkWbf/r6X/wBBaui8JrELOSOMXKPHIVkjvJTJIjemSTxjBGD3rnPjZ/yLFt/18r/6C1eTnU51OHq8ptNuPQ6sGlHGwS7na6D/AMgey/64p/6CK0P4qz9B/wCQPZ/9cU/9BFaH8VfXYP8A3an6L8jzqnxsRq80+Nn/ACDdO/66t/KvTa5rxj4Pj8XQ28clw1uIWLZVQc5GKyzCjPEYaVOC1Zk9VY+fqK9Y/wCFK2//AEEpv+/Y/wAaP+FJ2/8A0E5f+/Y/xr8//sXG/wAn4ow5JHk9Fesf8KUt/wDoJSf9+x/jS/8AClbf/oJTf98D/Gn/AGLjf5fxQezZ8FPMsPhHXvg/Gxjum8Spo0UEb7DHplyWuwV2D5FFus8YJ7xnNb/jzRZvg/r/AIl8cy+HNL8U+ELiO3ub5ZAovtLSCNULQhl2yRAIrbAVYHeQTwK+rJv2T/C9x8QIfGjzTHxBFafYluOi7MvglM4LASOoY8gMR3rN8Q/sX+EvFGvTanqGpaxILg5ubCPUJ0srnChf3luJPLbhVByOcDOa9uOAxPMrw0e+2r0v10K5WfP/AIs8LeHNT+L3w/uBommyx31tqM8pezjJlJSJgz5HJ5PJ9a434pXV18JvHXjePQ4vJl8ceHIY9KjinCFNUhkWzXy0I2qNl3bMf+uRr7Yuv2ctFvNZ0vVZbuX7bpscsdqyoAI1kCh/lBx0VfpWf4r/AGU/C/jjUtAv9ad7260K8F9YOyAeVMARng8joceqg9hWdPAYqM480LxSs9V3uv0DlZ8TaHptp4V0ux+CttNPIIvFsMFvHPeKJ/7OWP8AtAuFxkoPLMWD13cntXR/tIaLLDZx3j+GNNt/Dkep2N9qfiSzkVtViEdzEcRRlVwSVRS/mMQm75CcCvrCP9kfwlH8SG8dDd/wkzWP9nNebBzDuB6Zxu4A3dccdKydQ/Yh8GaprR1C8vtWuoGnN0+lzX87WDzGXzd7Wxk8snzPnxtxu5xW31HEe1jPl2323fzDlZ414q8vxd8YvC+kfvHtfDto/iG5wDsMsm+C2BGME8XDYyCCgIr548R/Fjwp4m+K3gjxbqGo3DaovioQW1s+nXI+waalrcoFUGP5mllZZH25JzGMYjr788C/ssx+F9b8X61f6+2pap4g1I3RmW1Efk2yIsdvb/eOQiKSTxlnc45rY179mnRPE15o11qF5cSzaPe/b7MgBdk3lvHuODz8sjjB9aKOAxFCVuS6ta9113/EOVs+WfFk154i+Ker6taxrcW3gPQ7iSzTaWEmqXMROcK3JSBQuCP+Xg4NcF8J/E918O/BXwo1PWfCOim18VzWdp/atpcPNqQvbuNnM8oeIcOxbcA/yBjyQMV9peA/2ZY/CcOsPd6219qOq6ncahc3K26oMO5EUY5JxHEI4xnrszxnFYuh/sQ+C/DOrJqOlz30M9uZJLG3muZZbWxkdWVmhgZ9kZO5s7R3PrSjl9bldKUPd06+v6u4crPFvAskvjb4veLvFMiyrpeiqvhrS1csEd1bzLydVIxzIYotynn7O2fb1Wuq8E/sq6f4U+Hdr4Vn1qe7H2eRLy6hj8k3EspZppBhsqWZ2PByM9aksf2TfDWny+HZYb6+D6DYSadY5mc7YXVFYMN3znEa8tkjFcFbJ8TUlpHRaLbZfPqLkZyNFeheFP2btI8F+HbDRNLv7qPT7GPyoVmYysFyTgsxJPXufbpWv/wpS3/6CU3/AH7H+NcbyPGX0jp6oORnk1Fesf8ACk7f/oJy/wDfsf40f8KUt/8AoJSf9+x/jUf2Jjf5fxQvZs5T4W/8jlaf7kn/AKCa944rhvDPwzg8N6tFfpeyTNGGXYyAA5GK7jNfa5PhauFoOnVVnc2iuVajqKKK94o+aviQw/4bS+GC9xptyT+MVzXuvjLWdJ0HwxqF1rV7Z2OneSySzXxHlcgjDDI3Z6bRyegrwb4jf8ns/DP/ALBk/wD6Kuq9W+Kix20vhrVbzTJ9V0vTdQ+0XKW8TTND+6dUl8tQS+1yvAGRnPavGoycXWa7/oB414N8UT+M9G0zwTonxK8K3UVosIt7aTSLqGWaGI5SIF5l3gBQPl+YheT1J+jPDEGvW+mldfu7C7vt5xJp1u8EW3AwNru5z15z+FeceMvHHh3x9p9npWhpPrWr/breW38i0kBtHSRSZWkZQI9qb85IJGV5zg+wJ90V0YeKTdncDxj9pz/kAaL/ANfL/wDoFeN6P4NbVNBfWJ9Ss9OsUufsrPcls7tm7gKpJ4/rXsn7Tn/IA0X/AK+X/wDQK8X/AOEgt/8AhAjoeyX7UdTF7vwNmzyimM5znJ9OnftXogUPEGiXHh3V7nTrko00BALRtuVgQCCD6YINfZ/htdvh/Th/07x/+givjrxhrUPiDxBPfW6SRxSJEoWQAN8sSqehPdTX2PoK7dFsR6QRj/x0UAXefoaxNY0u9ubgXFnqDW0iqF8mRBJC3OeV659wRW21YfiLSbW6hN1dXF1bx26M7fZ7h4+BychTzXm46n7ShJON7a72NabtJFUaxqGmqv2/SjLgfNNYHzB9dpww+gzW9Z3Ud9apPFkxyDcpIIP5HpXn1rGlvNBdXVprFrZPJGEnl1BmwWIC70DZAJIHfrXo6428V5WU1p1VK70XR7+t7LQ2rRUbW/r8zy/wX/yVTxB9H/8AQ1r1TvXlfgz/AJKp4g/3W/8AQ1r1TvXncI/7nV/6+T/9KZ0Zh/Ej/hj+SFprCnUlfbvY8w+bfFH/ACMmqf8AXzJ/6EazK9g1L4QwalqFzdtqEiNNI0hUIOMnPrVf/hSdv/0Epf8Av2P8a/NK2T4yVSUlDd90YcjPJ6K9Y/4Upb/9BKT/AL9j/Gl/4Upbf9BKX/v2P8ax/sXG/wAn4oXs2fKnx+t4tJ0bQfG3Mdz4R1SLUGmUhT9lf9zcoWwTs8uQsQOpjWubk8Mx/HG8+KVxa332aGSJfC+n3pBZA0A8ydihAO3z5GjYA4YRHnpX2FrX7P8ApniDSL3TL69knsryF7eeIoBuR1KsOvoa57T/ANkPwrpvgFPB0FzeJokZ3qqzOJhJ53n+Z5obfv8AN+fdnOa9Sjl2KhTUXC0l1023/MfKz5z+Ht5aah4i1LwP4p8C6PpGv2tjBqDmxjjnsb2Dc0SSoSgYEMGGx1yueCetct4L+E+k+Nv2f/FWkWmmWNrqd9daxbW13HEsTpILubyfnUbgFZU6dhX1t4K/ZJ8NeBbi4urC/wBRu9RuI1hl1HVLiS8umjVmZY/MlYsEDMx2g4yc1r+G/wBm/R/CemtYabezw2zTzXBVl3fPLI0jnJPdmJ/GrqZfi4tulHqnv236j5ZH5+XniqX4uL4Z+KoeaBPBOm6ZelIZVitVuZ5R/aaEn5sJCm3DccV654BsV8eyfEbxW9jb61BqeqNZaTaahIrWssNgBCmG2NtV7lJ3zhsZBAPf6K0v9jrwZpOieJtJtlkWx8SXFxdanEy7hNJNnzDyeBzwBwO1Lbfse+E7LwHp/hCzub2x0bT4xHaCzmeCaH5WG9ZUYMGO9snPO45zmuipga81yxhbtqtt+/cOVnyp8IdQtfAPjD4vah4ksh4a1JUtdYvdNssSadbWSW7oksLKAWdvKkMhKoSVAC4GTpeHfAGqeKPhHpV+tnYy61rGqx+J7qy1lj5R8yTzVgdhGT8kZROVONmK9y1r9hLQJvC95oWk6zdWsWsXtrLrt9qBkvbvUrWFwTA8zyb/AJlHlgkkKrNwc4rvPF37M+k+NtJ/s691nVLWISCRZdNuZLSZWAI4eNlOME8dOazqZfiefmhHdq/olb8f8g5WfMfh/wCJ8eg+F/iIk3hqy0PUPB8hW4tNJcSW1xI1uk0ZjOyMksJFXBAOeMmuIm8DapoeofCzwjHpOn63KlhqGsXsesXUyWz6ixjaSV/lcud9xMQjA43cEbRX1Fq37EuizaRpGjabrFza6YusW2qaybpTdXGqiBQ0aSSyMWP72O3Yk5+WMqMZrp/G37Kfhz4gWtrFql9fLNZyGW0vLKVra5tmI2sY5Y2DLlSVODyCRTjltenO8I6PfXyt39Q5WfKd18V7u6+E/i6z0vSbfQfFVnrMnhOGLTmJtxqEpRVnjYRg7QJhISVGNrZ9a9f8E+E7PwH4P0Xw7p4b7FpdnFZxtIBvYIoXc2AAWbGScckk119v+xxpek6t4UGl6vJbaJo1xc6hPazRtNPeXkibEmaZnySoeYnduLFl6ba6m6/Zo0W98WWHiOW/vDqljby2sDLIyxiOQqXBQNtJyi8kdvpXNXymvNclONk7vdei/rzFys4Kiup0P9kHwt4dj8NpZXuoKvh/7R9g8yd32+d/rN+W+f23ZxxjoK6//hSdv/0EpP8Av2P8a8+eR4tfDG/3ByM8nor1j/hSlv8A9BKT/v2P8aP+FKW//QSk/wC/Y/xrP+xcb/J+KF7Nnk9e7fCz/kSrH/ek/wDQ2rB/4Urb/wDQSm/74H+Ndt4Z0FfDujw2CStMsZY72GCcsT/WvfyfL8RhaznVjZWsXCLi9TYoopO4r7Q1OL+NP/JHvHP/AGAr7/0neuB/Yu/5N90L/rvdf+j3rvvjT/yR7xz/ANgK+/8ASd64H9i7/k37Q/8Arvdf+j3ry5/75H0f6CGfGj4iaL4T8caLcQeMdF0DXrK3njnhvrKe8Z4JNjFGWJhsG6NXycH5RggFg2h8O4/FXiDVH8UWHi3wtr2nalJCtxJZ6fNlYI+sMZ88hGG5z84JDPzkAAP8MeLNH+G+oeJbPxMJNN1C61i6vPtklrK8d1FJITBiUKQxWPam3Py7MdMVs/DSS11TxT4r1nSdNudO0e+eAK89ubcXdwofzZlRsNggxruIG4oTyOTMY81VSb67a6DPSea+MPG0ZuPHmtRg/NJqEqj/AL+EV9oV8X+L5Vt/H2sSMCVTUZWIXrxIa9YCzq/w/n0mHVCNSsbu501v9JtYHYuq7wobpg8sMgHIzziuq/Zx5+IEvHSyk/8AQkrlbvxVaz6x4uu1jmCaukiQAqMrunST5ueOFPTPOPrXW/s3qf8AhPLhuwsnH/jyUAfTVFFFACV82fG7/k6L4PfS4/rX0nXzZ8bv+Tovg99Lj+tedjv4a9V+aA+k16UtIvSlr0FsAUUUUwCkbpS0UAQ3H+pf6Gvmb/gn/wD8kl1v/sNyf+k8FfTNx/qX+hr5m/4J/wD/ACSXW/8AsNyf+k8FeZU/3uHo/wBBH0/RRRXpjG15z8UtG1HULzRrrT7Vrr7LIzMqkeqEd/8AZNejU3aD714+aZdDNMLLDTk4p21W6s7nRQrPD1FUSvY83Xxd4yVQP+EdX/vv/wCvS/8ACYeMv+hdT/vv/wCvXpO0f3aNo/u14H9gY1Kyx0/uj/kdn1ul/wA+V+P+Z5t/wmHjL/oXl/77P+NH/CXeMz18Orj/AH//AK9ek7R6UyRQFPHarjkeNUk/r0/uX+RLxVK38Ffj/mfGmoZOt/EwkYP9tLken76eufrodR/5DnxN/wCw0P8A0dPXPV+iY5WqJP8Alj+SPm8B/C+b/MKKKK889IKKKKACrOl/8hK0/wCuyf8AoQqtVnS/+Qlaf9dk/wDQhVR+JClsey/s0/8AI2fED/r9T/0OWvoE96+fv2af+Rs+IH/X6n/octfQJ7135h/HfovyR5uX/wAD5v8AMWiiivOPTCkalpGoA47U9kniC4RNRbSbjyULMShWVctjhh2P863NBsorLT1SKc3IZmdpiQS7E5J4465rmp7qLVNYuluvDT3TRxptMkcRcAlupLdOOPxrf8NxyQ6aBJZrpw3vst1AG1dxxkAkZxg18jl8oyxUmo3u3Z2atr2eh21bqCXp2/4c5P43/wDIv2X/AF9r/wCgPXoFj/x7xf7grz/43f8AIvWX/X2v/oD16BY/8e8X+4KwwH/I9xf+GBrV/wB0p+r/AELFFFFfanmhRRRQA3/Cjd2pW6V4B4N8Uaxd/tifELQp9TvJdGtdCsp7fT5JmMEUjbNzKmcAnJyR61jOXJbzYHv24HpzSjpXxloH7RmufDPTfijq17FeeLWj+I8+hWVnc3xUQRM8m1IywIVVCYC8Dntivcfh18XvEGufEfWPBXi3wxb+HdWtdPh1S2a1v/tcdxbyOyZzsXDBlKkY6g9sE5xrwk0uoHrmelLXzhpfxW+Ic37XWs+DZodPPhG20hb37O1woaKLeqi5DCLczknBjLbQGznimab+1P4gvtI0XxkfAwT4c6tqiabBqP8AaI+3oskphjne32bQhkABAkJG4cUfWIAfSP3aTd+VcX8VtM1/WfBN7beHte/4Rm7KM8uoR24mmWIIxZYskBXJ2jec4BYgZwR8vwfFLxnD+w34Pv7HXroeKvEN8mkHW7qZpJ4fNupU8wOSTuCqFBzkA5GCAacqyg7NdLgfae4U6vmr4Rx678Of2mPEPw8m8T6t4n8OXHhyPXLaTXro3NzbyrMkLKHwBhi7kjHZffPX+IfjT4kuviZrXg/wX4UtfEE2gW8Fxqs97qX2QKZgSkcQ8ttzlQTzgdOaI1U1dgez0V8569+05r5vPHVx4X8Fw6xoHgeRotZurvUvs0xaNS04gTyyr+WFfqwzt46ipvEH7SHiO68WWWi+C/Blv4iF14Wi8Tia71P7Ltjd2XyiNjZb5QB6lhnA5pfWKaA+hqK+a/Bn7Vmu+I7z4e3l94GGm+F/Gk5srO//ALSWWZJwpJ3RBANhKvg7s4UkgcCsTT/2xvE9/wCEb3xl/wAK+tx4R03WhpF/eDVx5yZlSMSJH5fzAGRMgkcsMZAJC+sU7XuB9XNSbq8WvP2gpreX4xqmjxyJ4BsYbyFvtJH27zLV58N8v7v7oGeeufauH0342/EfXv2hPC2kWGn6ePDereFrXWn02W7A2xySDzJ/M8kt5i5ZRHnaQoOQTxXt4KwH1EOlLXzHqH7Y9ra+K720gs9DuNHs9c/sOSNteiXVZHEwhaaOz25aMOc53Z2gt2NfTY9auFSNS/K9gFooorYAooooAK+YfCfH7dHin30P/wCMV9PV8v8Ahdgv7dXiZT1bQ+P/ACAf6V5eN3p/4kI+gvF3izTfBXh+81jVZlhtLaN5CNyhpCqltiAkAsQDgZ5rBm+L3hZbPTZ4dUt7qXUJ7a3htbe4jafdM6ovy7v4d2Wx0AJ5xWv8QY7F/BOuNqOmtq9rFZTSPYqpLzARtlFxzuIyBjnmua8G2Or3Gl6PdroPh2wt3iikCwyO8kcZA4DeWMsFrepOUZ8q7DPSVztGeteF/tQ/8e/h3/euP5R17ov3RXhX7UH/AB7+Hf8Aen/lHXaB4LSehruPDkdhpfg9NTlWBria/aB2uLJbobERWCAN93cWOT1OBgjmuV16Szk1i9fTo3ismlZoY34Kr2GKAPtyx4s4B/0zX+VT1DbcWsQ/2B/KpqAGH7prkdUaP/hJH8q/OnXn2ZSxkClJU3NjAJ6qc9P7wrrjXn+qX9lqHiC5ivPDct8YYkCyNbK7/ecdSfu8cfjXz2c1IxpRTaTbVr3/ADWx04dO79DqfD1mlnbzFbn7bJK++Sfj5m6duOABXK/Gz/kWbb/r6X/0Fq6TwnGsdrOItOXTIDKTFCIwhK4HJAPXOa5r41/8ivb/APX0v/oLV42d2/1ercqsuXz7+eup14O/1yF+6O10H/kD2X/XFP8A0EVfrP0H/kC2X/XBP/QRWhX1uD/3al6L8jz6nxsWiiiu0zCiiigBu6l3V4Pb+KNX/wCG0Lrw9/aV1/YX/CFreDTjK3kCf7WV8wJ0DbeM9cV5P4X/AGjNW+GmvftCa3rs2o+JdM0HxDbWtjp0l0cW6SS3ClY92Qg+VeB6CuX6xFb+f4AfaFN9q8Z+H/x61PxB8VJvAnijwjL4S1WbTv7X0/fex3Pn2+7YQ2z7jghuOR8h56ZyNQ+KXjm2/awj8GW+mC68Ktof2ww+fCnHnxK13uK7/k3Mnl7uevpT9tCyl52A9/oz7V80Xf7X1/Doc3jOLwHeS/DiDUjpkms/a1W5JE3lGdYCuDFu+XO7O7ivcvG2n6/rHh2W18Maxb6FqUxUDUprUXPkofvMkZIUv6bsj1Bqo1oyT5egHSZo3elfFfgP4yeL9P8A2Fb3xX/bN1qHiia+exh1K+lMskZlu1hVstn7ofge1ekfDCz8R/DL4+/8ITc+MNa8XaFqfho6yH8RXP2m5guY544mEbgLhGEn3cHkDnrWUcQnay3t+IH0dRXkPjr40atpvxEfwZ4P8K/8JVrNnYLqmoh79LVIYWYqqKWB3Stt4BwuCMsM1zGvftQaouqeKrXw74Ik1iPwfaxXfiNrjUY4Gtd0bO0MYwwkdAj55C/IcE8Z1dWEd2B9C0V893n7VFxrF54csfA/gy88VX2v+Hv7etU+1JbrCok2Mkxb7u1sqSM5bAGc5rK8N/thXmvyeCdQl8BX1h4W8S6kmiJqkt5Gzx3zSeWFEY5aMOHUvkfdPFR9YpXtcD6Zor5j1z9sTUtO03xPrlp8Pby98MeF9Wk0vVtT/tCJCpVlXdHGRuY5dMjjAYcnnHo0fx4sbrUvH8FvYvPb+FdHtdYFwsgAvI54JJlCjHy8R45/vU1iKb2YHqm6lyK+WZP2hfG+vfGT4aW2haR5vh3xJ4ZXWH0t54VLFwGLmQruHlg/dBAarHi79trSfC3iLxBEum2cujeH9S/su9M2rwxajPIGVWktrQ/NLGpY5bIyBkdGwvrFPuB9P0VFFKs0ayIdyMAykdwalrqAKKKKACiiigD5l+Irf8ZtfDVfTS5z/wCQ7qvojWdYtNB0ye+vpkgt4ULMzsFzgE4GT1OOlfO/xE/5Pe+G/wD2Cpv/AEXdV7/4ssdP1Dw/fpqdiNRslhaR7cx7y4Ck4Uf3vTHOa8jD3UqzXf8ARAYNv8VfDc3hXT9ejvIhDexW80dqJY/PHnbdqld33hvGRnsetduv3a8P+HGmapdaF4c1DS/h/wCF9P0iW3t5bZ2vme5ityqlCSYTlwmM5Y89z1r3Fa7aEpSV2B4x+03n+wNF/wCvpv8A0Cvnevof9pw/8SDRR63Tf+gV5p4UsdO0/wAEz65cLbPdNqIsgby1+1RrGIw5AjyOWPGT2XAxkmuoDg6+49IXbpNmD/zxT+Qr4x8VSabL4gvH0iN4dPZg0Ub5yuVG4c9gc49sV9pWC7bG3H/TNf5CgCeqGtGL+ybwzI0kPlPvRPvMuDkD3q/WJ4q1L+y9FuZfsz3Y2MPLVdw6H7wz93jmuPFSjChOT2SZcU3JJGHbWUWq21ok2vfarLckiw/uwz4IZVLDk8gdOuK7QYUEV55BDZSfZ/sXhER3W+MiWa1RI1G4bjkHsM498V6IvSvDydxlCTSV7LVX/XsdGI3/AOG/Q8u8G/8AJVPEH0f/ANDWvVO9eV+Df+Sq+IPo/wD6Gteqd68/hH/c6v8A18qf+lM6Mw/iR/wx/JC0UUV9weYFFFFACbqTdXD/ABv1K70X4M+Pb+xuJbS9tdAv54LiFirxSLbyMrKRyCCAQe2K+a/jH8RvFOk/sI+D/Etl4g1K08Q3EWnmbVIbl1uJCwO7c4OTnvzzWE6qp3v0VwPs0Glrwbx5+0VrXhzxd4t0DQPA1x4jl8M2UGo3139ujt4UgdC7feGd+1WwoznaeldNF8XJPGfwFPj3wdZm+nutNa6trWSVYyjjKyKWYEZjYPnjBKYHWhVoSbt0A9TpK+avCP7SPiXS/g/4C1LxB4am1XxT4na2s9MjguI1GoyPCHM7lVCwr3IxwM8cV6L8Jfi7e+OvEHijwzr2g/8ACO+J/DjQfbLZLkXEEscys0ckT4UkEKc5UYyPWlGtCVkuoHp+6jIr5Z/aD8SeNfDP7RXwdgt/FM1t4Z1rWDbnR7JTCHVDBuMzhsy7jIRtPygDpkmjxw3iP4yfG74heFNP8aeIPB1p4N0m2e1XQ7oQi4up4fN8yb5csgDINmR904IzUOulfTVOwH1Pij0ryf4Z/Fhr79nPSfiB4ibe0WiHUr9oEALmNCz7FzjJ2nAz1IrmLf8AaY1bSfh5feO/FfgiXQ/Cx01NS065i1COeS4EjIsMLpgFJH3hhjKgDk54q/awsm+uoH0BRXg+lftH6npvjSLwt418Kp4b1a/0ufV9LWDUFuluI4kZ2iYhRslCo5PVflOCa5qx/a88QX6+E7pfhbqv9neKozHo7C+h864uAm4gofuxY5EjY4BbGMZn6xT7gfTtFfPcH7U11D8PdT1rUvBd3Brul+I4/DV3odtdJK5uHMeDG+AGB8xcdOaiX9qy60dvH9h4n8JNofiHwtpn9tJpiXyzm7tCcbg6rhWG6MEHu/GcUe3p9wPomk3V5T4w+M0+j+JLTw7p2jtd6nqHhy71q1kaZUUPEF2xHI7lhz0ryn4Z/tUa/o/7N+neOvHel/b7m5uI7Syu0ube3GoySTSLlhhUgVAnLNgYGTjk03Xgna4H1bRXjXwR/aGs/iz4g1/w9Kmmx63o8cM8jaNqaahZ3EcmcNFMoGdpADAgYLCvZK1hNTV0AtFFFaAFFFFAHF/Gr/kj/jn/ALAd9/6TvXAfsX/8m/6F/wBd7r/0e9d/8av+SP8Ajn/sB33/AKTvXn/7GH/Jv+h/9d7r/wBHvXmS/wB8j6MR6XqXjrRNN8TW+h3d3BHdzW01zuklQIgjaJSrZbIY+cpAxyA3pVrR/Fmm65rF9p1jOlzJZxRSSSRMrx/vC4ABBPI2HIPqPWuD+IOl2kvjzSYtN8H6XrPiC7srqZrrU5DDCIVeBXBIRt75MWMjIAbkZIPWeAdP1PT7a4j1DQdH0L5gY49ImMiv6lv3aYP51tGcvaOL2uM65ulfFXjg/wDFaa9/1/z/APoxq+1W6V8aeIrVNQ+IupW8snkxzarLG0p/gBmIJ544612gc3XrX7Nq58aXZ9LNv/QlrL8ZN4fsV17Sfs1vFLayeXY+RZtHJGyOB88m7MgZd2S2eSCK1v2a/wDkcr44/wCXM/8AoQoA+lKKKKAEr5s+N3/J0Xwe+lx/WvpOvmz43f8AJ0Xwe+lx/WvOx38Neq/NAfSa9KWkXpS16C2AKKKKYBSHtS0UAQ3H+pf6Gvmb/gn/AP8AJJdb/wCw3J/6TwV9M3H+pf6Gvmb/AIJ//wDJJdb/AOw3J/6TwV5lT/e4ej/QR9P0UUV6YwpKWigAooooAKZJ91vpT6bJ900CPjLUP+Q58TP+w0P/AEdPXPV6Fqfw58fWPi/xbNZ+EbfWNN1XUJJ1+1XKqCokdkYbJkYZD9D+VQf8ID48/wCiZaT/AOB0n/yXXtYmh7aanGStZdV2R4eFxHsIOMoO930fc4Siu8/4V/47/wCiY6T/AOB0n/yXWfrHh/xR4fhSbVPAfh/TYnbYsl1qjRKzdcAtdjmuVYOcnZSX3o6njoRV3B/czk6K1xe3hwP+Ea8I+n/IdH/yZXSf8ID47YcfDLScf9f0v/yXVSwNSO7S+aFHMKU/hi38mcJVnS/+Qlaf9dk/9CFdl/wr/wAef9Ex0n/wOk/+S6dF4E8fQyJInwz0lXQhlP26Tgj/ALeqSwkv5l96KeNj/JL7mdl+zT/yNnxB/wCvxP8A0OWvf+n9a8S/Z58G+JfC9/4ou/EWnf2dNqEscqASIyscuWxtZsAbh1r2081OPlGVduLutNvQeXxcaCUlbV/mOooorgPRCkalpGoA4XXNWtbXxFNDqGpz2UXkIYkgZgCSWyTtHXgV0nh64trrTY5LS4kuoCTiWQsWPJ9eaw9Xme61ya3fVW0uKKJHUIEBkJ3ZOWB4GB0rV8KXsl9pe+WVbgrLJGJlAAkVWIDcccj0r47ASax803dNu3ffVb7fJHdVS9mn6f1scp8cP+Resv8Ar6X/ANAevQbH/j3i/wBwV598cP8AkXrL/r7X/wBAevQbH/j3i/3BWeA/5HuL/wAMDSr/ALpT9X+hYooor7U80KKKKAEavEfiB+z/AKtrHxOPj/wT42m8D+IrmyGn6g7abHfw3USkbP3bsu1hgc89F4HOfb6KznBTVmB8efGv9mrUvD/wK0vw74ck1LxNr914st9Z1fVgiC5mmff5tztHAALAgc4zyTya9k+FfwV1jwb441rxd4p8ZTeNNevrSHT4Z3sEs1t7aMlggVWYElmJJGOSeOa9forKOHhGXMgPJdU+Cd1N8drX4jaZ4j/s5JNNGlanpT2KzC9hDFgBIWHl87M4U/d7ZNcRov7JepaX/ZGgTfEO+uvhvpWprqVr4XbTo1k3K5kjje6D7mRZCGxt5x2PI+kaQsB3pulBu7QHH/E3wv4h8XeF5NM8M+KF8JahI4337acl8Gi2sGj8t2Uc5HzA5GPevFtF/Y9u1+B9/wDDLX/HUms6UrRzaLc2+lJaSaXMrSOX4kYy7mfkMRgAgEEgj6Y3D1o3D1olThN3YHkHwn+BV74J8ba5418T+KZvGXi7VLeOw+3tYpZRwWqbSI0iRiMllBZs87VwBzuo+LfgDr118TtV8ZeEPH1x4Nk1q3gt9XtY9MiuvtIiyFdHdh5bbTjODjr7V7dkUm4dM0/ZwtygfOPib9k7VLrWvFp8NfEO88NeGvGDiTxBo502O6e5ZgROY52YGLzFLA8HBYnphR3ui/A+28P/ABGTxLZaj5VjD4Wj8MQ6b5GSiJMZBKZN3JwcbdvbOe1epbh60tJUKd7pAeHaD+zX/Yng34WaD/wkXnf8ILqX9ofaPsW37bxKNm3zD5f+t65b7vTnjxD4N/sr+NfFHgrUdI8R+JtR8K+G5/Esl7e+GX0+NzeJG8bo6TbgUViozwwJQHFfcFFQ8PBtPsB87fEL9lbUvFnijxrf6L8QLzwxpHi+xjtdV0uDT45jJJFCYo2WUsCqY27kAyw3jeNw26k/7OWpWvjjwH4p0LxrLo9/4d0WDQb6NtNSeLUbSNgxUBnBiZjvycvjcuMFcn3Wiq9hT7AfO1r+y3qeh+OdR1bQvGFlY6Hfaq+rS6Xd+GbW8mV5H3ypHcu25FLZ2/L8oPfrX0Oo2qBS0taQpxh8IBRRRWoBRRRQAV8v+H/+T6te/wCwL/7LFX1BXy7oreX+3brA679Fx/45Gf6V5eN3p/4kI+ivFd7aad4Z1W71BXewt7SWW4WPO4xqhLAY5zjNeF6Be6PpOuWlvB4E1DTILG7sImdtZytqLhl8hmiDnK5IGBnnj1r034neJtT0HS544vB7+JdGe1lN9Ib63t444wp3KyykZBXPTtXl8moy6xrXhHXNS+HWtaRYXE1hZx3A16NYGUSbrZriFX+fY7ZXcM7mA5JAoxDTmrbryGfRy/dFeE/tQf6vw9/vT/yjr3ZfuivCf2oPueHvrP8A+069MDxXSfEGpaH5n9n3s1p5mN4icgNjpkVTuLiW7mkmmkaWaQlnkc5LE9ya6PwXo+k6v9ujvWuJLtbW4lhjjwqDZEzhmPU8gfL+vY8wv3fwpgfdsI2xIP8AZFSU1RhQPanUAMYcdK8/8W6pb2/iL7Nfa3caTb+Qrx/ZiAWYswbcdpPYY/GvQDXJ6nLc3viBrBNQ/s2NbdZQyIpkkYswOC2eBt9P4q+dzqMpYeKi9br5/ivzOrD253ft/XcveD57W401ntNSm1SLcR51wctn06Cuc+Nn/Is23/X0v/oLV0vhi8luo7xJZkujDOY1nQABxgEdOMjODj0rmvjZ/wAizbf9fS/+gtXjZzJS4drNfy/r8/zOvB/77D1R2eg/8gWy/wCuCf8AoIrQrP0H/kC2X/XBP/QRWhX12D/3al6L8jzqnxsWiiiu0zCk/hpaKAPF/if8DNc8RfESx8eeC/F48IeJodObSriSfT0vYbm2LhwpVmG0hsnPPWvGvjd+znqPgX9mnxvb2Mt9438YeIdXh1TU761sdstw/mDhIY9xCKCTjJ5ZjwDgfZtFcsqEJX8wPEfhv8A9b0D4nzeOvGHjJ/GOrw6b/ZGnf8S9LUQW+8sS+1jvc5PPH3mznI26fiz4P63qfxq0L4gaJ4nj0j7LYf2XqGny6eJ/tdqZllZVcuPLJKgZwSOue1et0VaoxUeUD5c/4Y/19tFl8GH4jyH4ZSar/aLaH/ZS/afL87zjb/aPM+6Xw27b15xXvvjjRte1rw7JZ+Gdfj8L6oWUpqMlgt4EUHlfKZlByOM54rpeOlGRSjThFNLqB8y+DP2P73Qfgr4h+GWr+ODrehX6h7B49JW2ewnEnmeaCJWMnzhDgkY28Hmu1+FfwV17wz44uvGXjPxf/wAJf4iOnjSbSWGwWzit7XzA5GxWIZmZVJJ6Yr2XIoyKUaNOLTXQDxX4gfA3xHqXxMk8b+B/Gq+DdWvtPTTdS87So75Jo0csjqHYbXGcHqCAvTBzymvfsqeJ49W8VXHhP4kSaHaeLrSK216G80mO8e4dYmjeZGLrsZw7EgY5J56Y+lcijIpulBgeQ+B/2e9P+H/jbw5rOk6g66dofhc+GobGaEGSTM6ymdpAQNxKnKhMEsTkdKwdN/ZgfTvh38PvC/8AwkgkPhPxMniI3f2HH2rbcyz+Ts8z5P8AWbd2W+7nHOK99oo9jDawHxL4O/Zw8Y/EzTfiVo154n1Dwh4W1XxhcNfaRPpQZr2FTC6zQSuQV3Y27gGU7AecEH1Lxx+y/res+Ldfv/C/jyTwnoviDSIdI1LTo9NS4JjhjaOMRuzDaNrYPGevPPH0PS1EcPBKzA+eLr9mHWdP1L4Y6r4e8b/2Rq3g3R49Emmk0xZ4723ChWIQuNhIDd2xkenNO+/ZS1Ox8VeKb/w74k0O10/xDqDam8eteF4NRuLKZ8GTyZGdQVYj7rLhR6nJP0nRVewp9gGKoVQAMAcYFPoorpAKKKKACiiigD5i+Ikn/GcPw4XHTSZTn6x3f+FfRusT29ppN5Pdt5dpFC7yuCQVQKSxyPbNfN/xC/5Pm+Hf/YIk/wDRd5XvXjDXJtHswq+Hb7XrWZJBcfZZLZUiQAZ3+dLHwQT0z0OccZ8jDy5ZVm+/6AeC+F9J8H2c1lNY+FPGVjZ232S6VpddkEUUU0h8p2j+0n5SQSVx06ivp5fu188295o19pfhnUR4R8YWWivDZ6dDc/bLYQTW6yA25nC3BLICchschzyQ2D9DL0FbYX7WoHjH7Tn/ACANF/6+m/8AQK8F0vXL/RTKbG7ltvNAEgRuGx0yOhxXvf7TX/Iv6L/19N/6BXivhldFlmhg1Gyv765uJhCq2sqxhFbaAwBBLNkt8vA6c88eiBj319caldS3V1M9xcSHc8khyzH3NfcVl/x6Qf8AXNf5V8UeJ9JTQ/EGp6bHN58drcSQrJ3YKxHPvxzX2vY/8edv/wBc1/kKAJ89Kz9ame30e8miYLLHC7qzdAQpIJrQqjq1w9npd3cIu+SKJnVfUgEgVzYj+FPW2jKj8SPO9I1jSbie0ZvFuoNPIynyWYAFiR8pGzgZ4xmvUB92uDa8utOtbXUBrKXzTSxI1v5aBJNzBSExyCM56npXdr92vncjvGnKMt9/k9urOvEWumv6/BHl3gzj4ra//uv/AOhrXqi15X4M/wCSq69/uyf+hrXqgri4S/3Or/18n/6UzfMP4sf8MfyClpKWvuDywooooAy/EGiWfifQtS0fUYlnsNQtpLS4iPR45FKOv4gkV84Wv7IviS+0XQ/B3iP4j/258N9HuIpodE/saKKeZIiTHFJOHJ2jIBOORnheMfUdFYzpRn8QHyj4k+EPjbxz8dPit/YPiS68GWGoaZptlLcz6ULq11CFopllVdxUb04+ZWyN5B+9ke7eDfhfpngX4V2XgXTXZNOtdPaxExA3sWU75SBxuZmZj0GSa7ejaKmFGMLvuB812/7LXipfh74Y0SX4kf8AE68JX0Vz4f1WLR0VbWGNPLEMkXmfvdy8EsfwPOe/+EXwf1HwHr/inxN4i8Qr4m8U+Ing+1XUVmLWGKKFSsUSIGY4G5sknn5eOOfVqTIojRhF3QHz98aP2c/FfxX+Inh/xRafEWHQYvD032rSLH+wEufs8pCb2ZzMu/JjU4YYHSneOP2efFOreMNQ8SeFfH0fhfU9c0yLTddkXSEn+1mNCqzR5kBjfacYB6BeeOff9w9aNw9aTowlfzA4K1+EmkW3wdHw4LzHRjpB0gyqR5uwxlC4JBAbnIyDg4615Va/st+J9a+HN74H8YfEl9d8PDS107TLe10iO1Nq6PG0M7MJGMjIIlAUnoW554+ktw9aNw9abpwe/a3yA+ffDv7N3iG88YP4o8e+N4/F2s2emT6VpDQ6SlnHZrKjI8rKrne5ViO2AzdcjG/pfwAbTrH4R251wP8A8ICCC32TH27NsYf7/wC767v4vT3r2PiloVGHYD5c+L/wR1TSfCesw6Xf3t7c+JviBYa0ZdPtD5unI0kKMwwWz5Yj37yAB3HFa2n/ALKl7qy/EC/8Y+MW8Q+JfFWmf2Kuq2+nJai0tRjAEYYhiWVC3I+4AMck/RtFR9XhzXA+fPAP7OfinR/GmmeJPF3xBPiq4sNGn0OKBNLS1CwvtwwYOct8vJIOcj05xNN/ZD1eP4QzfD2/8di606xvob7QLhdIjzYNHI8h81S588MZMFSQOPQ4r6epOar6vTtawHmHwg+F+seArrVLnWdS0K+a6jhjhj0Tw/Fpgh2b97MyuzSF9yHBwFKnA549QooraMVBWQBRRRVgFFFFAHF/Gr/kj/jn/sB33/pO9cB+xf8A8m/6H/13uv8A0e9d/wDGr/kj/jn/ALAd9/6TvXn/AOxfn/hn3Q8f897r/wBHvXly/wB8j6MDR+OFr4d1HUtGj1XR9Z1nUbO2u7+FdHvWtWt4UCLLIzCVOu5VHUnJ7ZrU+Dtlp2mvq9nZabrWlTqIZpIta1FrxnR1JR0JlfA4YdRyp4rM8ReLlv8AxNpsGoeAPEb6nc2l1axW8c9ifNtnEfnb8XPCZWP5jjBIGcnB0/hD9ijvNct49O17T9RtTDbzjxBcRzTGNVPl7Ckj5Tlue5Lck5pRd690wPTm+6a+KfG3/I5a/wD9hC4/9GNX2t/DXxZ4y2f8Jxrok3CP+0Z923rjzWzjPevVAgvPFWr6hZNaXOoTz27BVZHbO4KcgE9TgjvXpX7NA/4qzUT/ANOn/swrkda8P6Z/wij6jBZX2j3MM0caJfy7jeKwbLKNowRgHjjHvXZfszqD4l1U+lqP/QqAPo2iiigBK+bPjd/ydF8Hvpcf1r6Tr5s+N3/J0Xwe+lx/WvOx38Neq/NAfSa9KWkXpS16C2AKKKKYBSN0paRulAEVx/qX+hr5m/4J/wD/ACSXW/8AsNyf+k8FfTNx/qX+hr5m/wCCf/8AySXW/wDsNyf+k8FeZU/3uHo/0EfT9FFFemMKKKKACiiigApG6UtNb5VoAq3l5Dp9rLc3EiwwQoZJJHOFVQMkk+gFcP8A8L68A/8AQx2//fuT/wCJrxn9oj4wLr2pjwnpF/HFpiuqX94pLKzbuV+UElV6nb1Ix2rj9P1Hw3aXNpoi+JrEaFahbv7dJoTs88+7/VsvLMuACdxweBjiveo5W5UlUqJ3fRdvuevkfPVs0UajhTtZaXfc+lv+F9eAf+hjt/8Av3J/8TXlP7QXjnw38RPDen2Wja9ZSzw3fnOJd6ALsYcZX1IrgI9atNa0zUntdWt5Na1WVYpLGHQyXjgDbQ6soIXCEsQmTyRk8V0cVslv4wtpEu8WMOmmBbo+EpTGG3rhPK25LYBO/wBsd62p4WGEqKpqpL9Pkc1TF1MTTcHaz7f8OeSweG0S4jZtY0zarAn983/xNfZafHrwAqgf8JHb5/65yf8AxNfOdjHqOneD7KS2M8OsabetPb2i+H5A8oMhJJmA5Uq5O1uwx6VsalfNaXmp2lxr9xb+H9S/024vv+EenjFvdAgAqpAKE4UhlPUdB36cZbGyXO72vt/wxz4SbwafKt7b/wDDnuv/AAvzwCB/yMVv/wB+5P8A4mtfwz8TvDHjC/ez0jV4b25VDIYkVgdoOCeQPUV8uzfEoTW9/qUviqGbU2Q2U1m+kHy9Rtw2BIx+7u25I3AEZIyBzXGahcWXgnxFp+q+FPEJv5oz5okW1kt2hbupDcFSCRwTkZBrGGTqpeOql07X+46ZZvKNpWTXXv8AmfoBgelCjiuH+FnxKsfiZ4djvrY+XdR4jubYnmKTH6g9Qf65A7mvm6lOVKbhNWaPpKdSNWCnB3TFoooqDUTtVXUJntrSaSNd7ojMq+pA4FWqbJ93msppyi0nYa3Oa06Gy8RaHaT6lFb30hjDN5kasFYjkYxx6Va8LXX2nTW2+WUjmkjjMYAUqrkDAHsKr3Hg3RL65eQ24WXId1jkZAcnqVUjOcd+tbNjHbwwLFahFij+QLHjAxxjivDwtCsqynUUVZNXTu35vTQ6JyjytK/+Rwfxw/5F6y/6+1/9AevQbH/j3i/3BXn3xw/5F6y/6+1/9AevQbH/AI94v9wV5eA/5HmL/wAMDpq/7pT9X+hYooor7U80KKKKACiiigAooooARulfG/7TzaR4b+LieKtQv9I8WyWsFrAvgy71Ca21K3PmqwmsUjceYzZBIK9jz1B+yaz7jQ9PvLuK8nsbaa7jxsnkhVnXHoxGRWNSHtI2A+Hfipa2/jD4yfEe28Ua7oHhjU7cWg8PXniDVZ7OWziNurLJaqrBHIkJZhz82QfSui8DeBrHx9+2h4zj1+8vNUh0XTtG1S1WO8lihkuo7e32TlVYbiCXODx8xyDX19feH9N1SaOa9061u5o+EkngV2XvwSOOamj021hu5LqO3hS5lULJMqAO4HQFupArljh9byd9bisfEPw7lv8AWPHnhL4HXE11PF4J8S32pXkzyyb2srcB7EuyhVKs0+COfmiXIAYZ5j4Q6PeeMtc8Oa7qPjLRfD3xQh8TNNqI1bUbiPV7nEjRtaGz3qojZdoCqoACleBuFfoHHpNnDfSXsdpAl7Iux7hY1EjLxwWxkjgflUbeH9MbUBftp1q1+OlyYV8wcY+9jPSl9Wel5f10GfN37Mvw70zVviZ8VPGd3JeXOrWHjTVbGyWS6kEFshK+YVjDbSWDAEkH7i+le3658WvCvhvxgfDGo6n9m1saZJrBtzbykC0QsGk3hSnGx/lzu46cjPU2tjb2LTG3gjg86QyyeWgXe56scdSfU0kmm2s10Lp7eF7gIYxM0YLhT1XPXHtXTCDpxstwOIs/jv4H1CPwe9vrfmr4vaVdEK2k/wDpZjID/wAHyYyPv7favQ6z49D0+FbYR2Nsn2TP2fbCo8nPXZx8ufar5rSN+rAWiiitACiiigAooooAKKKKACvlzSf+T79T/wCwN/7TSvqOvljT2K/t5XwHRtHOf+/S15eN3p/4kI+j/FKadN4b1VNXKLpTW0gvGkOFEO07yfbbmvnbw9rkuqa5oWm3UfxQ1bw7Be2zWSXOgRW9p8kimCWWdFWRolIVzu67QWBxivoLxoto3hHW/t00MFj9im8+W4hMsaR7DuLICCwAzlQQSOK8B+H/AMYLCbVtA0Oy+MVjq4M0NtHZL4XmSSddyqI/MLfKSONxHHU1WI/iRTGfTi/dFeE/tQfc8PfWf/2Svdl+6K8I/ag/5l7/ALb/APslekB5d4H1DS9JuLy41C7mgkktZ7aNI7fzP9ZGU3Z3DpnpXO3kcUc0qQStPCpISRk2Fh64ycVFRQB93r90UtIv3RS0ARSNsjYmub0uO08WaJa3Op20E8rAttZB+7OTxz0I6V0pHynvXO3ngzRr66eZ4HWRuX8qZ4wTzyQCB615GNp1ZSi4JSVmmm7J7WfXY3pyir3bT7on8MtGqXltAkUcFvOYoxCoVduAccdxkj8K5n42f8ixb/8AX0v/AKC1dtptjbadarBaRrFCnRV/OuJ+Nn/Is23/AF9L/wCgtXz+fU5UuH60ZO7Uem2+3yO3BSUsZBrujtNB/wCQPZ/9cU/9BFaNZ2g/8gez/wCuKf8AoIrRr6rB/wC7UvRfkefU+NhRRRXaZhRRSZFAC0UmRRkUALRSZFLQB8i/thQ6fYeK7HxFrOo6b4g0fR9PWafwbca7Jpl2GM3F3bGN1aSQgFQrHHyYXLHB82+L1/q/xI+MXiizvtY0vRLbTtJsLnw6/ijxHc6QdP8ANtxI1xD5QxLKr4LlyccDkD5fu7UfDelatcJPfabZ3kyDCyXECuyjOeCRxRqPhvSdakSS/wBNs751G1WuIEkKj0BINcE8O5SbvuB8Z+B9D1D4lftSJ4e8T+JrzU7Oz8IaVrMzaTfn7LfXcAt9ku4D54y0zyYGAx2kjjFZGmrr3/CeWP7Pj6neMLPxpJqkt0L6UyHR1iF1HGzAD7wfvwJAB6GvueDRrC1vPtUFnbxXPliLzo4lV9gxhMgZ2jA49hT/AOy7NdQN8LWEXhTyzcCMeYVznbu64yBxR9W8/wDhgPzr8Kx+MPG/ja88Qf8ACUeHdA8e2viwxCfxB4iu7S/WMSAJYpZY8toXzgActllz2HvfwV8AReLvj18TPE+qavqkz+HvEssWmaet0wtYWeFPMkKdyyhVx0AX8vo+Twvo89+L6XSrGS+DBxcvboZAw6HdjORgc+1XLXT7azkmkggjheZt8rRoFMjdMtjqfenDD8rTbvYDm9a+KXhbw7400zwnqOrx2viDUraW7tbJkcl4Y1ZncsF2qAEY/MR904rFtP2gvAN5pvhW/h8Qxva+KL5tO0iQ20w+1XCyeWyAFMr84xl8A8YPIru5dJsbi+ivJbO3ku4lKR3DRqZEU9QG6gcnj3qFfDelLHaoum2YS1kMtuohXELk5LJx8pzzkd66rSvuBq0UUmRWgC0UmRRkUALRSZFGRQAtFFFABRRRQB8uePmLft0/D1ey6O5H/fu8r6V1aG1uNMu4b3abOSJkn8w4XyyCGyewxmvmnx9/yfZ8P/8AsDP/AOgXtfSmtJDJpN6lz5QgaFxJ567o9u053DIyMZyM9K8rD/FV9f0EjwLwzHaahYaHpdl4y8Xar4QhaFLW1TwrKI5oUK+UrXQthlF2r84IyM5OK+jF+6K+cvBHxQsdEt9D8P2vxS8IXlpAYrS3g/syYStGCFSJW+0YyFwoJBPAJyeT9GrWuF2Yzxj9pr/kX9F/6+m/9ArynwHNoenWt1e3Wr/2brQby7V2tnmWJSOZBt/i5IHpjPpj1L9p7/kB6J/18v8A+gV8916AFrVIbe31CeO1u/t9uD8tx5Zj38ZJ2nkc5H4V9vWX/HpB/wBc1/lXwseAa+6bL/j0g/65r/KgCY1iaxqktlqul2qqqw3UjrJIw4ACEgD3J/ka26z9U0u11S1aK7RZIs554wR3BHQ+9cWKhUnSapOz0frbp8zSDSfvbGDrun6doKxX9nY2ou/tMY+WIbm3uFbHocMTmurU/KawLHwbo+m3CXMUTNKhyjTTPJtPTI3E4PvW+MlTXDgaM6bqSnFRv0TuvXbqXUknZJt+bPL/AAb/AMlW17/cf/0Na9TryzwZ/wAlW17/AHH/APQ1r1OvC4S/3Or/ANfJ/wDpTO3MP4sf8MfyFpaSlr7g8sKKKTIoAWikyKMigBaKTIoyKAMnxNIYvD+qSLqK6OVtZWGosFItcIf3pDfKQv3ueOOa+DPDviK5+G/g/wCKOieHbhdR8cReHxqUnjDw9r0+owahG86IZnjZ2WG4AkdgVAIBYg4wT+gskaTRsjhXVhhlYZBB7GqGn+HtK0lZksdOtLRZgBKtvAqBwM4DYHPU9fU1y1aTqNNOwHwN4X0fUPC/g/xtqHh/xX4aj0abwXdyz6Xonie61G7uJxtxevHKFMT5+ViAoBbGATx0epfD6f4d/s6eA/i7pGraxd6/ZzaR4i1drq/lf7VC6RpJDhekYV0THQRqfx+0Lfwhodn5wt9HsYPOQxy+XbIu9D1VsDkHA49qvf2da/YPsX2eH7H5flfZ9g8vZjG3b0xjjFYrDO2rA/P7xlr3ibWPh1eePItSlOj+PvG8VrMt5fy29nDpELPFFHLIoDQRu2/ew/gKHgitDVNN8R+Bf2efiAtj4q0M6WuuaU+k2/hfW5dTGkubiPzE82UbgD+7YKxPVj3r7sfRbCTTvsDWVu1hjaLVolMWByBtxjFQw+GNIt7N7OLS7KKzdxI1ulugjZhjBK4wTwOfYUvqz3cgOc+Gvw70f4PeD5dP0+6vJLIO97PcajcGeQyMi+Y7MfUqWPuxxgYAg0X45+CPEVv4Ym07XY7iLxPNcW+knyJV+1PCXEoG5BtwUblsA44zkZ71o1dCjAFSMFT0x6Vn2+gaZax20cVhaxLaszQKkKgRE53FeOCcnOPWuzlaSUQMzwX8RPD/AMQodTm8PaiupRabfSabdssboIriMAunzKM43LyMjnrXT1SsNNtNNWUWlrDbLK5lk8mMIHc9WOOpPrVzIq1fqAtFJkUZFUAtFJkUZFAC0UUUAFFFFAHF/Gr/AJI/45/7Ad9/6TvXAfsX/wDJv+h/9d7r/wBHvXffGrj4O+Oj/wBQK+/9J3rgP2L/APk37Qv+u91/6PevMn/vkfRgdB8Wm06x13w/fJr2paD4k8ueCz/svTW1CW4hJjaVHhWNyVBRDu4we/NW/hPZkPquoXWra3repz+Wk11rOkNpuEXcUSOMxRjaNzZIzyeazfjJq9n4Z1/w3rD+L9I8JX8MdxCj6pavOLqJvLLx4WRPlDLG3rkLggbg218KfGy+M7e/kXxRoviYW7qu/R7R7cRZB4ffI+SccYx0oj/H1/r8QPQPWvi7xesbeO9aEzMkJ1KcOyDLBfNbJA9cV9ot0r4q8bf8jlr4/wCohcf+jGr0wOh1LXNPs/Bt7pY1ufxFLd+S1us0LqLEq2WILk4Yj5cJxgnmuq/ZlUf8JFrB7i2X/wBCrxqvZv2ZP+Ri1j/r2X/0KgD6KooooASvmz43f8nRfB76XH9a+k6+bPjd/wAnRfB76XH9a87Hfw16r80B9Jr0paRelLXoLYAooopgFFFIe1AEVx/qX+hr5m/4J/8A/JJdb/7Dcn/pPBX0zcf6l/oa+Zv+Cf8A/wAkl1v/ALDcn/pPBXmVP97h6P8AQR9P0UUV6YwooooAKKKKAE9KxPFmk3evaDd2FnfHTZrhPL+0qm5kU9cDPXHftW3SfpQpOLTXQmUVJOL6nzgf2PLdsk+JJifU24/xpf8Ahjq1/wChjm/8Bx/jX0btOfal216/9rYzpP8ABHlf2VhP5fxPnzRf2V5fD+oJe6b4uurO7QFRNDAAwBGDg5rpP+FO+Lf+ik6r/wB8j/GvXx09KSuepj69R802m/NL/I2hl9CmrQTS9WeRf8Kc8W/9FJ1b/v2P8ap6p8CPEOtWM1lf+P8AUry0lGJIZogyt35GfXH5V7X1pFqFjKsXdW+5f5FPBUmrO/3s+bx+x1b/APQxy/8AgOP8aX/hjm2/6GKb/vwP8a+j8e1GPauv+1sZ/wA/PyOf+ysJ/J+J4z8OP2f7j4b+Ik1Oy8RSyxsNk9s0ACzL6HnqDyDXsw6UppOvWvOrV6mIlz1HdnoUaMMPHkpqyHUUUVibhTW+7TqRulAHnepWsOk6xP5mr6s8siKStrG0hUZbG4hTxycD611HhaOCPSkNv9oKMzMWulKyMxYkkgjPWsTxFMdK1x7mPXLLTGuIkVormIMW2k4b7w9cV0Hh+6e70uKV7yG/Zs/v7dNqNyegyf518dl8Ywxs6drNXts9335n+SO+rrTUu9v62OP+N/8AyL9l/wBfa/8AoD16BY/8e8X+4K8++N//ACLtj/19L/6A9eg2f/HrFz/CP5VngP8Ake4v/DAur/ulP1f6Fiim/jS5FfaHmnLfEDxJdeFtHiu7RI5JGnEZWUEjBVj2I9K8/wD+Fz61/wA+tl/3y/8A8VXVfGU/8Uzb4/5+l/8AQHrxmvg84x1fD4nkpTaVkZSk09Dvf+Fzaz/z7Wf/AHy3/wAVR/wubWf+faz/AO+W/wDiq4KivC/tTF/zsnmkd7/wubWf+faz/wC+W/8AiqP+Fzaz/wA+1n/3y3/xVcFRR/amL/5+Mn2jO9/4XNrP/PtZ/wDfLf8AxVH/AAubWf8An2s/++W/+Krys+LNKXxYvhk3ONbNkdRFqY2GbcSCMuGxtOGIBGc8jjFZ2sfE3w14ffWV1DU0tzo4hN7mNz5Zm/1SjC/OzdlXJ5HHIrWOYY6TspsfNI9l/wCFzaz/AM+1n/3y3/xVH/C5tZ/59rP/AL5b/wCKrwC6+Pngmx0O31e41G8isZpZIVZtKu/MV0A3B4/K3pjI+8AD2zUfh79oXwD4oaz/ALO11nS8mitreSaxuIY5ZJM+WqvJGqndjjB549RWn1vMbXuw5pH0H/wubWf+faz/AO+W/wDiqP8Ahc2s/wDPtZ/98t/8VXkjeOtDj8bR+EWv418QyWB1NLFlbc1uHKFwcbfvAjGc8E4xV3S/EWn6zfapaWc/nT6bOLa6XYwEchRZAuSME7XU8ZAzjrxWTzDHxV3JhzSPTv8Ahc2s/wDPtZ/98t/8VR/wubWf+faz/wC+W/8Aiq4Kis/7Uxf/AD8Y+aR3v/C5tZ/59rP/AL5b/wCKo/4XNrP/AD7Wf/fLf/FV5f4m8RWXhHw7qWt6i/l2On28lzMwxnailjjJHPHHvUuh6k2taLp+oPaTWD3dvHO1rc482AsoYo+CRuXODgkZBq/7RxvLzc7sLmkel/8AC5ta/wCfaz/75b/4qj/hc2tf8+1n/wB8t/8AFVwVFT/auL/nYuaR3v8AwubWf+faz/75b/4qj/hc2s/8+1n/AN8t/wDFVwVFH9qYv+dlc0jvf+Fy6z/z7Wf/AHy3/wAVWl4Z+KWqa1rtlZTwWqxTSbSyqwP4ZY15hW94G/5G/Sv+uw/ka6MLmWKnXhGU3ZtfmNSdz6GDU6mr0p1fp6Ngr5XsP+T873P/AEByP/IS19T18r2v/J+s2B/zCT/6JrzcbvT9UI+gvGHjHTfDVjNFNrOkabqckLvaR6tdrAjuB8pbJzt3YyQDXj8PirxJ421jRLHV/F3w3t7SPUbe5/4kuoST3kjJIGEcSsQMv9w98ORg5wfV/iF8P9L8caJfxXGm6bcao1rLBZ3t9ZR3DWzsp2sNwPAbBx7V5F4d8JyXB8N2WkfDOx8O6rpd7bC+12K4sisSxlTMoaJjJI0ibl2so++CcEZDr83Ok1oM+jF+6K8H/ag/5l8f9dv/AGSveF+6MdK8G/afP7zQB7TH/wBAr0wPCaKKKAPu9fuilpF+6KWgBjfdrgdStBp2vTySa3fI80akRW8YkcKGfqAhwozx+Nd83T0Nch4gcaVrK3y6rZ6eZohCyXS58zBJBHzDGMtXzmdR5qEZ9muu3nuvzOrDv3mu5peFIYo7OZ4prqcySFnkukKOzYx0IHYDtXN/Gz/kWbb/AK+l/wDQWrq/DuoDUbNpReW94M48y2GF+nU1ynxs/wCRZtv+vpf/AEFq8nOuX/V6ty7cv9dWdWDv9dhfujs9B/5Atl/1wT/0EVoVn6F/yCLPn/lin/oIq/uHrX1mD/3al6L8jz6nxsWuZ8e+I7nwvoqXdqkbyNMseJQSMEH0I9K6XcPWuE+MRH/CKx4P/Lyn8mqcdUlTw85xdmkzJ7HKf8Ll1r/n2s/++H/+KpP+Fzaz/wA+1l/3w/8A8VXBUV+a/wBrYz+dnPzSO9/4XNrP/PtZf98P/wDFUf8AC5tZ/wCfay/74f8A+KrgqKP7Wxn87Dmkd7/wubWf+fay/wC+H/8AiqP+Fzaz/wA+1l/3w/8A8VXBVnt4h01fECaGb2Eaw1sbxbIuPNMIYIZAvXaGIGfUiqWaY2W02Pmkem/8Ll1n/n2sv++H/wDiqP8Ahcus/wDPtZf98P8A/FV5LrXjzw94dku49T1i0sWtEiluPPkC+UsrlIy3uzKQB1OKo2/xV8KXWj/2omswfYfO+zmVwylZNobYykAg7SGwR0IPetFj8wlqpMfNI9p/4XNrP/PrY/8AfD//ABVJ/wALl1n/AJ9rL/vh/wD4qvF9J+KnhHXLeO4sPEFldW8jxRpNHJlGaU4jAbodx4H4etbLeJNLj8RRaC19Ausy2rXiWJcea0KsFaQD+6GYDPqRRLMMwi7OTFzSPT/+Fzaz/wA+1l/3w/8A8VS/8Lm1n/n2sv8Avh//AIqvMtP16x1a81C1s7uK4uNPlWC7jjbJhkKK4VvQ7WU49GFX6xeaY2Ls5sfNLud7/wALm1n/AJ9rL/vh/wD4qj/hc2s/8+1l/wB8P/8AFVwVFH9rYz+dk80jvf8Ahcus/wDPtZf98P8A/FUf8Ll1n/n2sv8Avh//AIqvJ/B/jCx8caOdU05J1szPNAjToFMnlyNGXXk/KShKnuMHAzW3TlmeNg7Sm7hzSO9/4XNrP/PtZf8AfD//ABVH/C5tZ/59rL/vh/8A4quCopf2tjP52HNI73/hc2s/8+1l/wB8P/8AFUf8Lm1n/n2sv++H/wDiq4Kij+1sZ/Ow5pdz0rRPitqupazZWktvaLHPMkbMqMCASAcfNXrS5xzXzj4V/wCRm0n/AK+4v/QhX0ctfZZJiauJpSlVldpm0G2tR1FFFfTlny34+/5Pt+H/AP2Bn/8AQL2vofxB4q0zw3Ap1DU9P06SVWMC6hdJAspAHALHoMjOAcZFfPPj7/k+z4ff9gZ//QL2ve/GngPR/Gtiyano+l6ldQxSLaTajYx3It2YD5lDg45Ckgddorx8Pe9Xl3v+gkea614y1Dxmtlpb6l4E0+N7y3kNzb+Imup1CyBv3SeTH+8OAB83fvXuC/dr5j8O/Du3stA0Hw/B8IhZeKrF7X7R4heCz+zh43VpJxOHMj5wxCbc8hcADj6cT7orfC3d2xnin7Trf8SnRB/03kP/AI6K+fK+gP2nj/xL9CH/AE1k/kK+f69EBGr7psf+PO3/AOua/wAhXwvX3RY/8edv/wBc1/kKAJmrF8U2D6ho11ELtrIeWxMqkYxg8HI6VtHrVTVLZbzTbmBiqrJGyEt0GRjmuTFQ56M42vdPyLg7STOFtY7S++zQzatqt5BuRgn2ciN8EFeQnTIB616H/CcelcPp2uNbzQ2reIdKmZWEZUJh25xj7/Wu4H3TXg5Io+zlbfr/AJXuzpxHxL+v0R5d4N/5Ktr3+4//AKGteqdzXlXgv/kqmv8A+7J/6Gteqbh61wcJf7pV/wCvk/8A0pm+YfxI/wCFfkOpKTcPWk49a+3PMPMPFnxM1TQdeurG3gtWiiIAaRGJ5GezCsj/AIXNrP8Az7WX/fD/APxVZHxI/wCRy1D6r/6CK5mvzLF5niqeIlGM3ZNmDlK53v8AwubWf+fay/74f/4qj/hc2s/8+1l/3w//AMVXBUVyf2tjP52TzSO9/wCFzaz/AM+1l/3w/wD8VR/wubWf+fay/wC+H/8Aiq4KmXFxHawSTSsEijUu7HoFAyTT/tXGfzsOaR6D/wALm1n/AJ9bL/vh/wD4qk/4XNrP/PtZf98P/wDFV5Yvi7RW8L/8JL/adv8A2D9l+3f2hv8A3Pkbd/mbv7u3nNZNx8V/CVrq1tpkmu2ov7jywsCksQZADGGwPk3AjG7GcjFarMMwltJ6D5pdz2n/AIXNrP8Az62X/fD/APxVL/wubWf+fWx/74f/AOKrxHUPjB4M0nVDpt54isre/wB7oLeRyHYofnwMc4yM46Zra0rxXo+uLemw1G3ujYlRcqj8w7o1kXeO2UZWHsaJY/MUuZyaXoPml3PU/wDhc2s/8+1l/wB8P/8AFUf8Ll1n/n2sv++H/wDiq8lj8deH5PC8HiRdXtG0O4EbRagJAYnDsFTBHXczAD3IrdqJZljo/FJi5pHe/wDC5tZ/59rL/vh//iqP+Fzaz/z7WX/fD/8AxVcFRUf2tjP52Lmkd7/wubWf+fay/wC+H/8AiqP+Fy6z/wA+1l/3w/8A8VXk3irxda+ExpQuILi6m1K/i0+3gtQhcu+Tu+Zl+VVVmbGThTgGtyreZY1JSc3ZhzSO9/4XLrP/AD7WX/fD/wDxVH/C5tZ/59rL/vh//iq4Kio/tbGfzsOaR3v/AAubWf8An2sv++H/APiqP+Fzaz/z7WX/AHw//wAVXBUUf2tjP52HNI73/hcutf8APtY/98P/APFV3vw+8TXXirSZ7q7SKOSOcxAQggY2qe5PrXgtex/Bf/kXL3/r8b/0BK9vJ8diMRiVCrJtWZcJNvU9Dooor742OJ+Nn/JG/Hf/AGAb7/0neuB/Yv8A+TfdC/673X/o967742f8kb8d/wDYBvv/AEneuB/Yv/5N90IH/ntdf+j3rzJf75H0YHXeJvipY2zQjQ9Y8J6gTu84ahr62uzpjG2OTd364xjv2T4XXFxq2q+ItXudQ0GZ7ySECz8PXpuootiEeZI5VcyNwM7R8saDnFcf8QvhH4c0PxNoet2Xwy0vXtFtYbmO80/TbG1jmEjhPKm8t9qzABZF2k8bwwBI46T4OaCNN1DxDfWXg4eCNHvmga3010hjlkZUIeVo4iVjByqhM/wFuCxyo8zre8B6k3Svirxt/wAjnr//AGELj/0Y1fav8NfFXjb/AJHPX/8AsIXH/oxq9QDFr2f9mT/kYNY/69l/9CrxivZ/2Y/+Q/rP/Xsn/oVAH0TRRRQAlfNnxu/5Oi+D30uP619J182fG7/k6L4PfS4/rXnY7+GvVfmgPpNelLSL0pa9BbAFFFFMAoopG6UARXH+pf6Gvmb/AIJ//wDJJdb/AOw3J/6TwV9M3H+pf6Gvmb/gn/8A8kl1v/sNyf8ApPBXmVP97h6P9BH0/RRRXpjCiiigAooooA53xt400j4e+H5tb1u5Npp0LIjyLGznczBVAVQSSSQKWbxposPg0eKXv4hoBsxqAvskIYCm8P64KkH8a5D9oHD+DtIB7+ItI/8AS6GvKtHnltddtPgXaRXCW1hrEl7JJuyItCj2XES7t+7BllitwTnKpJnGBW8aalFP+rHNKo4ya/q59CeCfGmkfELwvYeItBvBfaTfKzwXCqVDgMVPBGRypH4VZ1DXodN1LTbKWK6ea/kdImhgeRFKoWJkYDCDA4LYBOB1r5L+EOu24+CHws8Pql7LqF5HqtygXxDPodmsUd1JveW4h+dmBZQsahvvMxAAzXU/Bnxt4h17wr8HptS1W7luLjVdXs7rN08n2iOA3KRCRjzLgRp8zckjPU0ey3a2Eq2yPqDcO1UrHWLLUri9gtrmOaazlEFwinmJyquFPvtZT+NeCeFdJv7fw/4X8VSeJfEF1qlz4hMEqz6pM9u1u1xJF5JgLeWVC4IO3dkA5rMs1tvAP/C9Lvw5quoXPinTFlltbG61i5vHx9ht3EhhkkfcQ2AHKkgfKDjij2W6v/VyvavTT+rH07uHrRkV87/Cm31tdWsr+LW7STTZdGma5gXxlda1NdS4QpMsc0SiIqd4JQgfMBjgYyvB8uqeGrP4IawfEWuanqHiSX7Lqp1HU5p4rhHspZs+SzeWjK0S4ZVBxnJOc1Ps/MPa+R9Obh60ZHrXyRY/EifUPH/gHXtAur2203XvEk1nJFf+J7m5nubcx3AbzNNceXAodF2lTlcINvzHGpeQ6rY+C9S8b/8ACT+IH1iz8dS2lvE2qTfZFtDrrWpt2g3eW6eW7AbgSPlCkBVAr2T7i9t2R9RluetHHavnbwHrVn4q8d+M7rxX4vv9M1zSvFjabpulLq8tlEtshi+zp9mDhJhN5nLMrFt+ARgYwfC994s8Ua0mqW2u6fbajF4lkhnkvPFt0h+zpdMjW39m+T5IJiUheck4bd3pez8yvarTQ+qaKbzTqxNxKhuLiO0geaZ1jiQbmdjgAepNTUyWNZEKuAyngqRkGolez5dwOD1a80a+nvJo9Z04SP5DJ5kysFaN9wB56E4FdB4RVF0kMs8NwHkkk3WxBjGWJwD7ZrOvNNkstYuJ4NNgu4ZYlUBmVDGVz2I6HPWtTwvYzWOmbJ0jSRpHkEcbZWMMxIUHHavjsBCf19ucUnreyfff5nfUkvZ6Pscn8cP+Rcsv+vtf/QHqC3j+IPlp5ctmExxwP8KsfG//AJF+y/6+1/8AQHrvrPi2i/3BXiSyz+0c9xP72ULRj8Ltf1O1V/YYSHuJ3b3V+x575PxE/wCetl+n+FJ5PxE/562f6f4V6X+NH417P+rC/wCgqr/4Ec/19/8APuP3HiXjePxUukxHW5LdrTzl2iMDO7a2Og9M1xFezfGT/kWLf/r7X/0F68Zr5fMMF9Qrun7SU9N5O7PLxVb20k+VL0VgooorzTkCiiigDyz41GLwxrXgnxy6hU0XUvsN5OxOI7O8CwyEnIAUSCBix6BT61y3h3w3a/Eb4Y3GuXesN4S1TxhrY13SL5giTRlDusiI5GKuxt4FYqOqlzx29x1bSbLXtPnsNRtYb6xnXbLb3CB0cZzgg8GqmqeEtE1rRY9Hv9Js7zSo1VEs54FeJAo2qFUjAwOBjoK9Sni1CnGNtV18t7feB574F8ba54i0/wAeaD4iOm3Wp+Hh9nk1DSQyQXKyW/mqdjFijKGAZdx9eM4rj7XwvfeK/wBi3w9FpO5desNAstU0to4hJIt5bIk8IRT1LNGF/wCBV7rovhnSPDelf2ZpWmWunafz/otrCscfIweAO4q3Y6fbaXYwWdnBHbWsKCOKGJQqooGAoA6DFV9cjF3grap/cv1HzHypb+ItH1TULf4+T7LO0/t21s0vJnMpi0prb7OyHBxHieZ3Yjj5OenHtX7PNhcr8MbLWr5BFqPiaefxDcRhmYIbuQzInPI2RtGmO22uxXwdocfh9tBXSLJdFZSraeIFEBBOSCmMdea1o41hjWNFCIowFUYAHpRiMZGtDkUbf5LZfmF9DMh8V6HcTW0MWs6fJNdTy2sEaXUZaWaLd5saDPzOm1tyjkbTnGK8p+PnjrVND0Xw94k8BXEniHXI7q4t7XRrCYy2+pr5T+ajqjYJjMe4H7wKlBgvz6rB4T0a1ntpoNLs4ZbaaW4hdIFBjlkBEjrxwzBjk9806z8L6Rpz2z2umWtu9sJRA0cKqY/MYNJtwONxAJx1I5rno1KVGanZvyEeK3GrW3iz4efDPwnZa/P4qfxbMl5eanPy81pDi5unYBSqDf5cHlnG3zQvVah+KXjrU/h/4s8UeGrbUrk6n4utrNfDMMkxAt7l3SzmWEldqiMNHOVzk/OemcetaX8NdF0XxnP4ltYmjvXsf7PihXasMEZlaaTYoAwZHKliSc7ExjBzX8QfDmHxJ8SvC/iq8uVeLw7BdCzsvKORcTqqGYvu5AjDrtKnl92cgV3RxVHn1Xu2b+e6/RFnWWNsbKyt7cyvOYo1QyyHLOQMFj7nGamoorxG7u5AUUUUgCq95H4nmEKeD5bWHxAZV+zyXn+rXnk9CM49RirFbvgT/kbtK/67D+Rrrwi5q8F5oa3MYeGf2oZuf+Er8Pw+3lRf/I5pjeD/ANqIt/yOugge0MP/AMi19R/winV+pfUo9Zv7zpsfLsfgz9p9v9Z460JB6i3hP/ttXFfCmw8VaP8AtjRW/jXU4NX19tOk8y6t0VEK+TlQAqqOAPSvtbtXyn/zfxH/ANgxv/SY1xYjCxpSpyUm/eW7A+lvFVndal4a1W0sZvs17cWssUE39yRlIVvwJBrwLwpoOqW+pXnh+x8CX/h+KTVdL1CS6mESWkKweSZWWRWPmu5hZcKCTvBbGa7X47yCS78OWuoW3iK88OyNcSXsHhyCZ5ZJFVBCrtD86plnbgjJUdelcJ8PdUttS1uyHiWw8farcRagsOlR6hpVzHaWcKybYJJMAKz42u0kmcYHTGT11pKVZR7DPplfuivAf2ns/bNCHbZL/Na9+X7or5+/aeb/AImWhj/plIf1FeqB4jRRRQB93r90UtNX7oHtTqAIZpEgjaSRlRFG5mY4AA7muF1i60bUL26uF1rTC0sMSR+ZOh2tG7N69Dnn6V3csayxlWAZWGCpGciuPv8AQlstbe7j0q3u7eSBYxGuxSjBiT8pGDkEc5/hr5vO4zlRiuVON9b3089DpoNJt31L/g0rNZ3Eyy2shlmLEWbh41OAMZ9eM/jWB8bP+RZtv+vpf/QWrpPC1nJZw3PmQx2qyTGRLeMgiMHHHHGSQTx61znxs/5Fm3/6+l/9BavDzeNuG60dvd/U7cG/9tg/NFHT5/Hf2G38i3sjDsXZu67ccd/SrH2j4hf8+9j+X/167jQf+QNY8f8ALBP/AEEVofhRheG5SoQf1yrsvteXoOeOXO/3Ufu/4J5z9o+IH/PvYfl/9euc8cSeK20ZBrEFqln5y4MP3t2Djv8AWvaO/P8AKuF+MAx4Xix0+0r/AOgtRiuH5UaE6n1qpKyvZtWfroc88WpRa9nFX8v+CeLUUUV8eeKFFFFABXkfx2tz4X1rwX8RY5TCnh/UVtNSwSFk0+8KwSbgB82yRoZQDwNjGvXKp6xo9l4g0q70zUrWK90+7iaGe2mXckiMMMrDuCK6cPUVGopNadfTqB4DoHw5h+LngfVPFepai/h3W/E/iGHXtIvCqF7ZLQhNPBjZikv7qHzCp6+a2Rxx2fwv+JGteKdY8c+FvEdpYrrnhhrdJ7/SwwtbxZ4S6MgbJVgFwyktjK8mu91bwToOveH4tC1DSLO70eJUWOylhDRxhBhNo7YHQjpUnh3wlo3hHSzpui6Za6XYsxdobaIIrMerHHUn1Nd0sZCpGSkuunlt+iKueKabos2tfsW6AtqiSX1n4cstStVdSw863RJ4+ByfmjFcTq3i7Ste8SWfx6sbm3l0bQdX0/SnvjO4X+zbi2WO5LKB96Oa9QlT0MDA8jFfVmk6TZ6FpVppun20dpYWkSwQW8KhUjjUYCgdgBWRZ/Dvwzp/hOfwvbaFYQ+HZxIsulpAogcOSXBUDBySc1rTzCnFycovVv7nuTocr+zzpAtfh2NckjjS+8UXtx4humjDAM1y+5BhuRtiESY/2K9F/tC12hvtMO0yeUDvGN+cbfrntT7e3js7eKCBBFFEoREUYCqBgAewrGXwL4ejtRaro1kLYXv9pCIQLtF1v3+djH39xznrmvNqTjWqSnLqBzXxw1M6f8OdV1Ox1mbS9S0iSO7t3tJW3STqwKW7ov8ArBLkR+WQc+YMDOCPNdC+LGrt8E/Evi+5nkn8a61qjaRb+HpJcLpd+0gtILIRs4ClTtkc/KXDM3AIx7jN4H0C4uprmXSLR55r2PUZHaMfPcxoESU+rKqqAT6D0rG1j4U6Pq3jPSPEJjW3lsrt9QmgjjAW7ufI8iKWX1MaFgvfkHPFdtGvQhD2clfr0+75geafFLwCLPR/AvgPw34h1jQdbaAWUFxpuqzWsVvaxBTPdSRpIvmMOFUHPzSrnjNe920Yht4o1keVUQKJJG3M2B1J7n3965nxV8K/CPjjUIb/AF7w/Y6rewxeRHcXEQZ0jyW2g+mSTj3rpbW1hsbWG2t41hghRY440GAqgYAHtgVz166q04xvqr39WO5LRRRXAIKKKKAIbp/EEfkP4WjtJddE0f2ZL7PlFt4+9gitf+1P2mP+gR4V/M//ABypfCn/ACNGk/8AX3F/6EK+j1+6K+2yPD+2oyfM1r0ZvBaHzX/av7TH/QJ8K/mf/jlH9q/tMf8AQJ8K/mf/AI5X0rRX031H/p4/vLsfE2izeN7j9sjwK3j630+21oWEojXTT+7MPk3W0nk87t/6V9larHcTabdx2cwt7p4nWGVl3BHIO1sd8HHFfNfj7/k+zwB/2Bn/APRd7XrPxhmP2fQ7e4uNTt9HnvWGoNpcUzytGInKoWhBdFLhfmHpjvXLhf3Sqpu9n19BLqeUeD4dU0u4uvCsHgnxFaaheJp6T6hdQE2v2iJt9xcPdbtr7uSCMljgYHSvp9fu187+EpNO1LxBIuua/wCL9QsbW+8rSNNlsbyKBYwytG8riMNKwbcN0jY28EHGa+iFrswdnFtMo8N/agb/AETQF9ZJT+i14HXvX7TzDydAH+1Mf/QK8Fr0gCvuix/484P+ua/yr4Xr7osv+PSD/rmv8qAJvesXxJqFjDp89pd6hb2L3MTohlkVTyMZAJ561s/zrL17R4tWsbiMpH5zRMkcjqDsJHB/OuLGe09jJU0m7dS4W5lc4u4fT7i7t4rTU9ICSmHewmXejIQRsAPOenb8a9GX7tcH/Ys9xb2drFo8NhPDJETcqyFUCkE7eMnIBHQda7z+CvnsjjZVHy2vbv8ANWfY6cQ78queKWzawnxE1s6IsLXW5twl6bNwz365xXT/AGj4gj/l3sPy/wDr1S8Gf8lU1/0xJ/6Gtepj8zXyGQ5K8ZRrVViJwvUnpF2W/oetjMUqcox9nF+7Hda7HnP2j4g/8+9h/n8aT7R8Qf8An3sf8/jXpFFfTf6tS/6DKv8A4F/wDh+ur/n1H7v+CfOHilr9tduTqaxpe5HmCL7vQVlV03xH/wCRy1D6r/6CK5mvja1H6vUlS5nKztd6t+p41WftJuVrX7BRRRWBiFIyh1IIyD1B70tFAHynDZyTLffAOaKaa0TxKrNKVkw2gvm+wZMg8sr2xZeBjFdn8SLzUvgXJ4s+IGg31hrHh65uI7zWfD92AJllUJCz20ynIYgJmOQMMoNu0k17K3hfSG8SLr5063OuLa/Yl1AxjzhDuLeXu67dxJx6msu5+FvhC88SDX5vDemy60JBN9ta3Uybx91ye7Dsete39dhJq606ru9L+mw7nEeP28z9or4PMRjdZa4cf9sbeuO+NurS+CPGnivT9P2w33xA0e106yIJh3X5uFsvM83syx3ULYXnEJNfQV1oen32qWGp3FnDLqFgsi2ty6AyQrIFEgU9gwVc49BVfWPCejeINQ0u+1PTLW/vNLlaexmniDNbSEYLoT0OO4rOnjIxlFtaJW/FtfoFz5r8H6fptn4usfgnH5KReF/FTazDZrLIH/s4RfbLZt38RWeUIR0/dgHrz9TyzRwbTJIsYZgq7mAyT0A96of8IzpI8SN4gGnW41trUWTX/ljzjAGLiPd127iTj3p+saDpviBLZNSsYL5LadLqFZ0DCOVDlXGejDsfescTiFiJRdrW39erB2LD6haxLKz3MKLCwWQs4ARjjAb0JyMZ9RXz18QPE3iXwf4h8YeBbHUNRuL7xldWjeHL1nllfTxc/ubza+7KrAIpJ1Cfc8xa9wvPAvh/UYdTiutHs549UmiuL5ZIgRcyRbPLd/Ur5ceD22is3Vvh9DrPxM0HxbcyxsdFsbm2trcxAkSTMm6TceRhUKgD++aeHq0qUm3qrde61X4/gPQ5Szz4s+OUWnRSXMmkeA9NUSSTO7+ff3S4TczA72jgQktnObnmsr4L6BJN8RPEuu6f4n8Qah4YtVk0a1s9Z1ae8jubhJQZ7lRKxwFZPKUgYOHOSCK9K8C+C4/BdjqUf2pr671HUJ9Rurt4wjSySNkZA4+VAiD2QVV8J/CPwb4Fvvtnh7w5YaRc7Gj8y0iCHaxBI47EgVpLFQ5ZwXZJfr+IzrqKKK8kgKKKKACn6Xe/Ga3a7XwNZaBc6H53D3xbzvM2JuB+YDHpimV7H8F/+RdvPT7Y3/oCV7uT0/aYpRu1p0NIbnlv9q/tMf8AQJ8K/mf/AI5R/an7TP8A0CfCv5n/AOOV9K0V9/8AUf8Ap5L7zax8k/ETUP2hZPh/4lTW9M8NR6M2mXIvWgY+YIPKbzCvz9ducV6F+xeP+LAaF/13uv8A0e9d78bP+SO+Ov8AsBX3/pO9cH+xf/yb/oX/AF3uv/R71z06PscXH3m9HuHUtftB6LdahDa3zaJqHiTS7axvIhp+moZZI7yQRrBOYgwMgUeYOASm/djuOi+Ft9f+Ib7Udcn0fUtCsri3trWG21aIQ3MjReYHkaPJKAlgBnBIXPTFeV+IdY1H7Vreopq/inS/FSa9LaxLb2F1Larp4uPJ4j8tomHk/vQw53AH2PrXwntdFtbG9/sm81rUZ3ZDd3euC4E0rhcBv3qqOg6IAvsK2pyVSvdDPQa+J/Ghz4w109f9Pn/9GNX2xXxL4uOfFmtkf8/0/wD6MavWAya9o/Zj/wCQ/rX/AF7J/wChV4vXtP7Mf/Id1r/r2T/0I0AfQ9FFFACV82fG7/k6L4PfS4/rX0nXzZ8bv+Tovg99Lj+tedjv4a9V+aA+k16UtIvSlr0FsAUUUUwCkbpS0UAQ3H+pf6Gvmb/gn/8A8kl1v/sNyf8ApPBX0zcf6l/oa+Zv+Cf/APySXW/+w3J/6TwV5lT/AHuHo/0EfT9FFFemMKKKKAEFLRWdr+sW/h3Q9Q1S7bZa2NvJczNjOERSzH8gaLX0E3YkvrG21KFY7mCOeNXWVVlUMA6sGVsHuCAR6EU1dLtY9QkvktoReSRrE9wEHmMgJIUt1IBJOPc18/3GsfFm3+H03xQPinTTAmnnWv8AhDBpafZvsoj8ww/adxl8wxjO/wC7vP3dvFdvY/tCaHqsNuNN0jXNXvJtJtNbNpYWXmOltcRs6MTkLuwpG3O4n7oODjX2cumpj7SP2tDtbjwH4cutMtNOm0LTpNPtXMlvavaxmOJiSSyrjAJyenqau23h3TLX7KINOtYfsrvJBshUeU753svHBOTkjrk1xcPxy0HVNO8P3OhwX2vz65ZNqFpY6fGhnEClVd5A7KE2swUgnO7I7GiT46+H20fQb+1g1G/fW5JoLKyt7Ymd5oiRLEykgKylWBycDaeanlnsVzQudymj2KW8VstpCIYpPNjjEY2o+d24DscnOfU1Xj8MaQuuTayumWa6tNF9nlvhAvnPHwdhfGSvA46cCuP8XfGix8EWc2oavoWuWmkWqxve6k1unkWocIct8+5tu8BtgYAgjnFU/D/xc1DVvjF4m8IzaLOmmaZa2s0V8I1G3zBKWeQmT7h8sbcLnrmhRna4c8NjtdJ8EaBoN5c3Wm6Lp9hc3GfOmtbZI2kycncQMnJ5q5/wj+m+XYR/YLYJp5DWiiFcW5ClQU4+X5SRx2JFcVoXxu0bXtQ0eGOw1a1sNYlkt9N1W6tfLtrx1DthDncNyxsyllUMBxnIq38O/i5pvxPkvX0bTNVGn2s89q2oXdsIoHmik2OiEtluQfmA28EZyCKTjPdgpQ2RvQ+CfD1tqDX8WiafHfNN9oNwtsgkMgBG/djO7DMM9eTVttA0xrN7NrC3a1ec3LQGFSjSmTzfMIxjd5nz567uetfPfjrxz49f4p/ElNJ8b2fhzRPBmlWOopp95pcVxDdtLFM7LJIWV1BMQHytn5uOldv4P+Impa9r2k6pe213ZQXng631ibRow0jRTO5ZkCkAlwDt6AnHSr5JWvcj2kb2sej3HhHRLzXINZn0ixm1aAbYr6S3QzIPQPjI/Oo5PBegS64usvounvqy9L9rZPP4/wBvGfXv3rA0/wCLWnzXWpwatp2peGm0+xfU5X1aJI4zbKSHkDq7LhccgnIBBI5FZ1n8d9Kl0GTXLvRde0zSPsH9pQXdzY5S5iJjCKmxm/eOZU2o2GbJwODibTL5oHp9Ia4vwr8SrPxH4iu9Clsb/RtYht1vBZakiI8sBYoJU2swK7hg9wSM9RXa1DTjoy4yUtUFI1LSNQUcLr1rH/wkMs11oc+rwtCgjKxowjILZADMOvH5V0fh1Yl01BDYNpseTi3ZVUrz6KSOetZHiKTS1vwt4dQEuwY+ym42Yycf6vjP61d8HLIujruFwB5kmz7UWMhTedpbdz0xXyGCTp5jOKs73fS61W7sdtT3qafocx8cP+Resv8Ar6X/ANAevQbL/j2i/wBwV598cP8AkXrL/r6X/wBAevQbH/j3i/3BWWB/5HuL/wAMDWr/ALpT9X+hYooor7Q805T4geGrrxVpMVpaPDHIsyykzMQMBWHYH1rgP+FN61/z8WX/AH8f/wCIr2jAo4rx8TleGxU+eqnf1E4p7ni//Cmtb/5+LL/v4/8A8RR/wprW/wDn4sv+/j//ABFe07RRtFcn9hYPs/vFyo8W/wCFN61/z8WX/fx//iKP+FN63/z8WP8A38f/AOIr2nijij+wsH2f3hyxPFv+FNa3/wA/Fl/38f8A+Io/4U3rX/PxZf8Afx//AIivacCjAo/sLB9n94cqPFv+FN63/wA/Fj/38f8A+Io/4U3rX/PxZf8Afx//AIivaeKOKP7CwfZ/eHLE8W/4U3rX/PxZf9/H/wDiKP8AhTWt/wDPxZf9/H/+Ir2nbRtp/wBhYPs/vDlieLf8Kb1r/n4sv+/j/wDxFH/Cmtb/AOfiy/7+P/8AEV7TtFG0Uv7CwfZ/eHKjxb/hTetf8/Fl/wB/H/8AiKP+FN61/wA/Fl/38f8A+Ir2nijij+wsH2f3hyxPFv8AhTetf8/Fl/38f/4ij/hTetf8/Fl/38f/AOIr2naKNoo/sLB9n94cqPFv+FN63/z8WP8A38f/AOIo/wCFN63/AM/Fj/38f/4ivaeKMCj+wsH2f3hyxPFv+FN61/z8WX/fx/8A4itPwz8LdV0jXbK8nmszFDJvYRuxbp2yor1bijArSnkuEpzU4p3XmHKhF+7TqT+Klr3ygr5Rk+X9vq3x/FprZ/8AAZq+rq+UZv8Ak/u1/wCwa3/pK1eXjv8Al3/iQH1b96k2ilHelr0wCvnv9pxv+Jvoq/8ATBz/AOPV9CV87/tOf8hzRh/07N/6FTA8XoHJAop8PMyD/aH86APuxfuilpF+6PpS0AR461wniyzim1/de6Rd6tZm3XYIQCsThmzxuHJB/Qde3d7q4zxbcaTFqSC91HUbOXywRHaNKEK5PJ2AjPWvAzqmp4dbaNPW363OnDtqen4Gt4Rt7a309xa6bNpkW7PkzABifXqf51zfxs/5Fm2/6+l/9Bat3wOxawnCyXU0HnHyZbwsZHXA5+bnGcj8Kw/jZ/yLNt/19L/6C1eDm8ubhyq7W93yX5aHbhbrHQv3R2eg/wDIFsv+uCf+gitCs/Qf+QLZf9cE/wDQRWhX2GD/AN2pei/I82p8bCuY8feG7nxRo0dpaNEkqyrJmZiBgAjsD6109FbVqUa0HTnszM8V/wCFN63/AM97H/v4/wD8RS/8Kb1v/nvY/wDfx/8A4ivaqTaK8L+wcH2f3kcqPFv+FN63/wA97H/v4/8A8RR/wpvW/wDnvY/9/H/+Ir2jb70bfej+wcH2f3hyo8X/AOFN63/z3sf+/j//ABFH/Cm9b/572P8A38f/AOIr2jbRto/sHB9n94cqPF/+FN63/wA97H/v4/8A8RR/wpvW/wDnvY/9/H/+Ir2nbSbfej+wcH2f3hyo8X/4U3rf/Pey/wC/j/8AxFH/AApvW/8AnvZf9/H/APiK9ox70Y96P7BwfZ/eHJE8X/4U3rf/AD3sf+/j/wDxFH/Cm9b/AOe9j/38f/4ivaNtG2j+wcH2f3hyo8X/AOFN63/z3sf+/j//ABFH/Cm9b/572P8A38f/AOIr2jbS7aP7BwfZ/eHKjxb/AIU3rf8Az3sf+/j/APxFH/Cm9b/572P/AH8f/wCIr2jb70bfej+wcH2f3hyo8X/4U3rf/Pex/wC/j/8AxFH/AApvW/8AnvY/9/H/APiK9o2+9G33o/sHB9n94cqPF/8AhTet/wDPex/7+P8A/EUf8Kb1v/nvY/8Afx//AIivaNvvRt96P7BwfZ/eHKjyPRPhXq+m6xZXck1o0cEySMqOxOAwJx8teuL2owPWlOK9PCYOlg4uNLZlJW2Fooor0Rny34//AOT7vh//ANgZ/wD0C9r6h2huozXy94//AOT7vh//ANgZ/wD0C9r6iHevLwfx1fX9CY9Q2L6Uo4paK9Qo8F/ag5bw8P8Arv8A+yV4TXuv7UH+s8P/AEn/APZK8KoAMbuK+6LL/j0g/wCua/yr4Xr7osv+POD/AHF/kKAJ85xWfrSSSaTdrEWEpicIY/vZ2nGORzV+qmotGljcGVmSIRsWaPO4DHJGOc/SuesualJPsyo/EjzzSNO03zLR5vCd9HdZUvIyhgr9yTv5Gec4/CvSv4TjrXmP2iwe4tv7J1LWb6886PEEjzhGXcN24kAABcnk9q9P52++K+cyT3Y1IWWnVLffr1OvE3bTf4nl3gv/AJKpr3+6/wD6Gteq15V4L/5Kpr3+6/8A6Gteq1xcJ/7pV/6+T/8ASjfMf4sf8MfyFpKWk/CvuDyzy3xb8M9U1zxBc31vNarFKQQsjsG4AHOFNZH/AApvW/8AnvY/9/H/APiK9o+tG2vAqZLhas3Uknd+ZPKjxf8A4U3rf/Pex/7+P/8AEUf8Kb1v/nvY/wDfx/8A4ivadopNvvWX9g4Ps/vFyo8X/wCFN63/AM97H/v4/wD8RR/wpvW/+e9j/wB/H/8AiK9o2+9G33o/sHB9n94cqPF/+FN63/z3sf8Av4//AMRR/wAKb1v/AJ72P/fx/wD4ivaNvvRto/sHB9n94ciPF/8AhTet/wDPex/7+P8A/EUf8Kb1v/nvY/8Afx//AIivaNtLto/sHB9n94cqPFv+FN63/wA97L/v4/8A8RR/wpvW/wDnvZf9/H/+Ir2jHvRj3o/sHB9n94ckTxf/AIU3rf8Az3sf+/j/APxFH/Cm9b/572P/AH8f/wCIr2jb70bfej+wcH2f3hyo8X/4U3rf/Pex/wC/j/8AxFH/AApvW/8AnvY/9/H/APiK9o20bfej+wcH2f3hyo8X/wCFN63/AM97H/v4/wD8RR/wpvW/+e9j/wB/H/8AiK9owKNvvR/YOD7P7w5UeL/8Kb1v/nvY/wDfx/8A4ij/AIU3rf8Az3sf+/j/APxFe0bfejb70f2Dg+z+8OVHi3/CnNb/AOe9j/38f/4iu++Hvhi68K6TPa3jwu8k5lBhYkYKqO4HpXWcUYFdeFyvD4Wp7Sle/qNRSFooor2SjjPjN/ySHxv/ANgO+/8ARD15/wDsX/8AJAND/wCu91/6PevQPjN/ySHxv/2A77/0Q9ef/sX/APJAND/673X/AKPevLn/AL5H0Yj3DYPSl2gcgUv8VLXpWW4xG6V8SeK/+Ro1n/r9m/8ARjV9uV8Q+Jzu8TasT1+1zf8AoZqgM2vav2Y/+Q5rf/Xun/oVeK17R+zH/wAh7W/+vdP/AEKgD6IooooASvmz43f8nRfB76XH9a+k6+bPjd/ydF8Hvpcf1rzsd/DXqvzQH0mvSlpF6UtegtgCiiimAUh7UtFAENx/qX+hr5m/4J//APJJdb/7Dcn/AKTwV9M3H+pf6Gvmb/gn/wD8kl1v/sNyf+k8FeZU/wB7h6P9BH0/RRRXpjCiiigBretUNd0e38QaLf6Xdp5lpe28ltMn95HUqw/ImtCgnFF+omrqx8/zeB/ipdfDU/DiaPw4mmvZnSZPE638pmNltMZItPIAEvlcf63bnnPas3RdI8R+Cvi94p0jwFpuk3ltpvhvRbBLLV7yW3CIguUhdZESQsFCkMhUFgQQylcN9IbTTfKRXLhVDHq2Oa1VV6q25i6K0sz5n039mnWPAuleCk0qO18RNo+l3FjfWU+r3OliSWa4+0NLFNCjEgO0gCOB8pHORz6V4V+HF3o83g6SPTdP0SDSzfPc2NpezXaq85LZWWRFaQliWYsByTXqO2kpOpJ6AqMUfOHxu+CXjn4mReNdMgntLqw1qKOPTby61y6t49PREUmNrOOMxybpAx3liSGGfugHtv8AhXuv2fxY17VY4bG98OeItKttPvJGu3hubJoVmGUQRsJA/mj+JNuD1r1rb7UvFHtJWsHsY3ufO3wx+Bmp+GZvDel6/wCGdH1Sx0GVWt9b/wCEivZGzEGFvMtlJGY1lHygjfhSWKnotejfA/wDqPw38BLouqSW8t1/aN/d7rV2ZNk93LMgyVU5CuueOuevWu+mkjt4zJI6xovJZjgfiawZvH2hwyFDfhiDg7UYj8wOfwpSqSloyo04x2PP7X4Dafqfxs8Y+MfEmj6LrdjqNvp0elrdwLcTW0kCyCVsOmEyWjwVJzt5xgVteMvAmvatr+t6jot9b6bPc+HJNKs7hmYPBcl3ZHwB90bhyDnjpXbaX4g07WObO7jmP93OG/I81pjijnle7H7ONrHz5pvwT8Sa/Hr8Gtx2mi22q+GbrQSYtau9WmEkwAaYmdVAX0RfTknOFt6l4H+JPjb4azeF9ctfDekS2tjCtveWeo3E32q8geJ42YLDF5MLeW4YKWYbgRjbg+8U3t0qvavfsR7GKR5P8Mfh5c6H4oudb1PwlpujagLQ2Md9B4iu9VneMuHKfvokCJlQ3BJz2Hf1umU+s5ScndmsYqKsgqrfQNc2ssSSvC7qVEkeNy+4zxmrVNbp6VnJKSaZR55cK2n6zPa3via6tI44keN53hXzMk5wSmOMfrXReDrp7nRwz3L3eJJFW4fH7xQ5AbgDjFYXi7UNusRRTT26QRPB+5niRvMV5NrtlugA9PWuk8M339oae0qsrxCWRInQAKUDELjHbAr4vLIwhj5wjJ6X3bbeq3u9ux6FW/sk2t7HJfHD/kXrL/r6X/0B69Bsf+PeL/cFeffHD/kXbL/r6X/0B69Bs2/0WH/dH8qrAf8AI9xf+GH6lVf90p+r/QsUUm6jcPWvtLo80474la5faBoMVzYTeTM1wqFtqt8pVjjBHsK8y/4WZ4l/6CX/AJAj/wDia7/4zH/imbfH/P2n/oL14zX59neKrUcTy05tKy6mU5O9kdP/AMLO8Tf9BL/yBH/8TR/ws7xN/wBBL/yBH/8AE1zFFeD9exP/AD8f3sz5pdzp/wDhZ3ib/oJf+QI//iaP+FneJv8AoJf+QI//AImuYopfXsT/AM/X97Dml3On/wCFm+Jf+gl/5Aj/APiaP+FneJf+gl/5Aj/+Jrza48cWNn49s/Cc8U0V9e6fJf2s7gCGdY3VJI1bOS670YjH3WzmsjWvi9pOi3OuwG1vryXSbi1smW1iVzcXVxgxwR/MMvgqTnAAYc1tHEY2TSjOXfdhzSPYf+Fm+Jf+gl/5Aj/+Jo/4WZ4m/wCgl/5Aj/8Aia8Zufild2egR6nL4H8Sq25xNaeVAZYVUZ3t+92lSM4Kk9DWTov7Qmk6ppOh6tPoGuaXpGtXNra2N9eW8Yjla4OIj8sjEAkgZIGNwrb2mPtdTl94c0j3v/hZ3iX/AKCX/kCP/wCJo/4Wd4m/6CX/AJAj/wDia8juPi1oNr8WrX4dyySJr91ph1WLgeWyBypTOfv4UtjHQVteHfFlp4mvdbt7NJCuk3hsZpmxseUIrMFIPO3ftOccgispYjHQXM5Stvu9mHNI9D/4Wd4m/wCgl/5Aj/8AiaP+FneJv+gl/wCQI/8A4muXorH69i/+fkvvYc0u50//AAs7xL/0Ev8AyBH/APE0f8LO8Tf9BL/yBH/8TXnfjjxZb+BfB+seILqNpoNOtnuDCucyEDhBgHljgdDyav6LeXGoaNYXV5bJZ3k0Eck9tHL5qwyFQWQPgbgDxnAzjOB0q/reM5OfnlbbdhzSO1/4Wd4m/wCgl/5Aj/8AiaP+FneJv+gl/wCQI/8A4muYorP69iv+fj+9hzS7nT/8LO8Tf9BL/wAgR/8AxNH/AAs7xN/0Ev8AyBH/APE1zFFH17E/8/X97Dml3On/AOFmeJf+gl/5Aj/+JrW8J+Ptf1PxHYW1ze+ZBJKFdfKQZGD3C5rgq3vAv/I4aV/12H8jXXhcbiZV4RdR2bXXzKjJ3PoZc0q9KRfuilXpX6ojcWvk+6/5P9sf+wa3/pI9fWFfJ93j/hv2w5/5hzf+kj15uN/5d/4kI+r16UtFFeoMK+c/2mm/4qTSB/06E/8Aj5r6Mr5y/aa/5GjSf+vM/wDobUAeOVLa83MQ/wBsfzqKprL/AI/IP+ui/wA6APulfuj6UtIv3RS0AVriN5YXVJGiYggOoBK+/NcNcNe2uvNZXPiWW3RYVlV5YoAZMlgQPkxxt5+td+fbpXDeLLt5tYjtSbVYoBDKyTwrI0oeTYQufugY5PPUV8xnsI+wjUcmmmurSfrZnXhm+bl/T/gGx4PvJby1uhJe/wBoiOYotzhQHGAeNoA4zj6g1z/xs/5Fm2/6+l/9Bauo8O3Udwt5HAIRbwTeVF5IAUAAZHHoSRXL/Gz/AJFm2/6+l/8AQWryc404crLmv7u+vfzOrCf77DS2qOz0H/kC2X/XBP8A0EVoVn6D/wAgWy/64J/6CK0Mj1r6/BtfVqXovyPOqfGw/hrkfiVrV5oOgpcWM3kTGdU3bQ3BDZ4IPpXW8etcL8Yf+RVj5z/pKf8AoLVOOm44abi7OzMnsee/8LO8S/8AQS/8gx//ABNH/CzPEv8A0Ef/ACBF/wDE1y9Ffl31/E/8/H97Obml3Oo/4WZ4l/6CP/kCL/4mj/hZniX/AKCP/kCL/wCJrl6Kf17Ff8/H97HzS7nUf8LM8S/9BH/yBF/8TR/wszxL/wBBH/yBF/8AE1y9ctofxI0XX/Bl54mgeaLTrM3K3STpsmge3d0lR0J4YFG4Pt61ccZjJK6nL72HNI9Q/wCFmeJf+gl/5Bi/+Jo/4WZ4l/6CX/kGL/4mvGZvjJpvnWsNno+t6nPJYw6jPDaWJZ7WGUMY/NBIwx2t8oy3HSk8RfGTTvC+r6fp17omu+fqVybOyaOyytzKEaTavzf3EY846Vv7XHt25pfeO8j2j/hZviX/AKCZ/wC/MX/xNH/CzvE3/QR/8gxf/E15f4Y+ImmeKdZ1XSIYruz1PS4bee7tb2ExtEkwcxnPQ58tuh4xWR4Z+OnhLxd8Nb/x1pt5LNoNiZlnbymWVWiOGTYedx4wO+4etT7fHLXml06vrt94uaR7P/ws3xN/0Ev/ACBF/wDE0f8ACzPEv/QR/wDIEX/xNcpDMJ4Y5ArIHUNtYYIyM4I9afWH17FrecvvYc0u51H/AAs3xN/0Ev8AyBF/8TR/wszxL/0Ef/IEX/xNcvRR9exX88vvYc0u51H/AAs3xL/0Ef8AyDF/8TR/ws3xN/0Ev/IEX/xNeYXnjaOH4iaf4SgtRc3M2ny6ldSiXb9liV1jjJXHzb2Lgcj/AFbV09XLFYyKTc3rruw5pdzqP+FmeJf+gj/5Ai/+Jo/4Wb4m/wCgl/5Ai/8Aia5eis/r2K/5+P72HNLudR/wszxL/wBBH/yBF/8AE0f8LN8Tf9BL/wAgRf8AxNcvRR9exX/Px/ew5pdzt/D3xB8QX2uafbz6hvhluI0dfJjGVLAEZC17atfOHhP/AJGjSf8Ar6i/9CFfR69K+3yGtUrUpOpJuz6m0G2tR1FJmjNfUFny54+P/Gd/w+/7Az/+i72vqJa+XfHwz+3f8Pv+wM//AKLva+olrzMJ8dT1Eh1FFFeoM8D/AGoP9d4f+k//ALJXhde6ftP/APHx4e/3Z/8A2SvC6AFX7w+tfdFn/wAekH/XNf5V8Lr94fWvuiz/AOPWD/cX+VAEvvWB4otbxrOW5tb+e28iJnMUMaN5hAzj5lP6Vv8AXrVPVLk2Wm3NwqeY0UbOF/vYBOK4cZTVWhOMm0rdG0y4ScZJo4JdTuLe1sbhPEv26aSWNWtoUhBk3MAwX5c8Zz+B6dR6Lu+U+uK89sbwaesl072FzeyTQmCSGBY9wkI3IpBJPGea9DH3Sfavn8ha5J2lfyu3bdX1b1djqxG60/r7jy7wb/yVTXv+B/8Aoa16r6V5X4O/5Kpr30f/ANDWvU8jiuThJ/7JV/6+T/NnRmX8SP8Ahj+SHUynZFJur7i6PKPH/G3jrW9I8S3lpZ3vlQRlQqeUhxwO5U1hf8LM8S/9BH/yDF/8TSfEj/kctQ+q/wDoIrma/LMZjMTHETjGo0k31MHJ30Oo/wCFmeJf+gj/AOQIv/iaP+FmeJf+gj/5Ai/+Jrl6K4/r2K/5+P72TzS7nUf8LM8S/wDQR/8AIEX/AMTR/wALM8S/9BH/AMgRf/E1y9BPB4zR9exX/Px/ew5pdzqP+FmeJf8AoI/+QYv/AIml/wCFmeJf+gkf+/MX/wATXlmi/EzQNe8AzeMra826BBDcTzXMiFfLWBnWYsOvymNx+FYEXx48P31w8Gl2Or61NBp9tqd3Hp1mZXtYbhGkhLrkHcyqSFUE+1dCrY+V0pS082HNI9x/4Wd4l/6CX/kGP/4mj/hZviX/AKCf/kCL/wCJrxvxF8XrDwz4isdFutE1x73UJpLey8mzDJcukbSMEO7sisecdK2tF8dadrOrahpey4s9QsbaC7nt7xNjCOVWKsOeQCrqSOAVI7USrY6K5nOVvVhzSPSv+Fm+Jv8AoJf+QIv/AImj/hZniX/oI/8AkCL/AOJrxW0+PHhC++FNz8RYb6RvDFv5m6fyW3sUmMJAQcklxgeuQa9BX5lzionisbT+OUl82HNLudT/AMLM8S/9BH/yBF/8TR/ws3xN/wBBL/yBF/8AE1y9FZfXsV/O/vYc0u51P/CzvEv/AEEf/IMX/wATSf8ACzfE3/QS/wDIEX/xNeY+IvGX9ieLPDGgQ2YvLrWnnZsylPIt4Yw0k33SGwzwptJX/WDnjFdNWssVjIxUnN2fmw5pdzqP+FmeJf8AoI/+QIv/AImj/hZniX/oI/8AkCL/AOJrl6Ky+vYr/n4/vYc0u51H/CzPEv8A0Ef/ACBF/wDE0f8ACzPEv/QR/wDIEX/xNcvRR9exX/Px/ew5pdzqP+Fm+Jf+gl/5Bi/+Jr0n4Y67f+INFubi/n+0SpcmNW2quF2qcYAHcmvDq9i+C5/4pu85/wCXxv8A0BK93JcVWq4pRqTbVnuy4Nt6s9EopKM1+hmxxvxm/wCSQ+N/+wJff+iHrz/9i7/k3/Q/+u91/wCj3r0D4zf8kh8b/wDYDvv/AEnevP8A9i7/AJN/0P8A673X/o968yX++R9H+gj3L+KlpP4qWvTGI3SviHxId3iHVCOn2qX/ANDNfb9fDuv/APId1H/r5k/9CNAFGvaf2Y/+Q5rP/Xun/oRrxavaf2Y/+Q5rf/Xsn/oRoA+h6KKKAEr5s+N3/J0Xwe+lx/WvpOvmz43f8nRfB76XH9a87Hfw16r80B9Jr0paRelLXoLYAooopgFFFI3SgCK4/wBS/wBDXzN/wT//AOSS63/2G5P/AEngr6ZuP9S/0NfM3/BP/wD5JLrf/Ybk/wDSeCvMqf73D0f6CPp+iiivTGFFFFABRRRQAUUUUAFFFFABSN0paiuAzQyBeGKkD60AeLfEjxpJfXksMbkWkJ2ooPDEfxGvL7jxAfMPzH863PFcb+bKCOQxzXn91G/m9D1oA73w/wCI5YrqOSKRkkU5VgeQa+iPCGvDxBo8c7ACZfkkHvjr+NfKmgRv5iV9FfCNGXSbon7pdcflQB31FFFABRRRQAmKr310tpayzMMrGpc49hmrGaimhS4jaN1DIwwVPcVlU5nF8m41a+p55dX97qq2P2zTNPv3vEZ7dZF4h4z85IPGMdO9dpoNvNa6fFHcPC0i5/1MexAM8AD2HFUf+EC0LOf7Nh/X/GtbT9Nt9LtUt7aJYoVzhF6DJzXzeXYDE4fESq4hp3W99em+h11asJQUYHB/G/8A5F6y5x/pa/8AoD1Sh0Hx/JEhTVrVVIyOf/tdXfjd/wAi/Zf9fa/+gPXf2Y/0WH/dH8q+YllUMzzzE89SUbRj8La/I9BYiVDCU7RTu3uk+x5t/wAI78QS2DrVsPfP/wBrqVfC3jtvva7Cv0//AGK9M2ij8a9r/VXDfaq1H/2+/wDM5vr9TpGP3I8T8b+H/EGmaPFNqusC9gMwUQqD12tzn8P1rh69l+Mn/IsW/wD19L/6C9eNbvrXy+Py+nl9Z0qTbWj1bb/E83E151pJyS+SS/IKKT86PzrzTjFopPzo/OgDy747MPDdv4Z8cLES3hvU0e6kRQWWxn/c3GeCSoDJIQvJ8oelcpo9poN18FU1r4gvceHz4s1E6288cjJNYSOTNagzRqPLaOGKJdzY5XaeTg+9sqyKVZdynqGGR+VI0aSR+WyBkxgqwyK9GGK5acYW2e63t2+8dzxn4TeJtW17w745tbjWpPFWh2B8vSfEElssTXsb2wdwSoCybHYruUDPTqDWfofgm78cfsbaLoVn50OsP4atpbBo38qSO8ijSSAhj90iVE57V7ssaRx7FQKmMbQMD6YpVVVUKq7VHAAGAKqWM1vFW1T+5fqFz5Os/ESXXg0/HW806WC4PiC1vpltbYm4i09LcWbwtuG5kQyTPwOSeBXuPwE8P3eg/C7SJNTj2a1qxk1rUl8ryyLq6dp5FK9ipk2f8ArvvJjMfl+Wvl/3NvH5U/8AOniMa68OS1tfw6L5A2cvZ/Ezw5qN5ptrb37ST6je3On2y/Z5Bvntw5mXJXgL5bcnAOOCcivKvjhrl54y0fwxqXwzf7T46+0Xi6PcSL5SrEiMl0JPMX7hKouDgF/KJOBmvevJj3A7BkEkHHQnqaVYo124QDbwMDpnrWNKtCjNVIx182I+etJ1HSPFXh34XeCPDi3qwahKdY1dL7cbqKC0cPOLklg3mveNEhPIYmTqKr/GK8vfCfj7V/C+lRzpcfE6C1trSZI3aOO4jZYLtyVOUK2ZEgIAAMRPU8+9WvhfS7TxJda/FZqur3NslnJckknyUZnCAE4UbnYnAGSRnOBinqXgfTtW8baP4nuvMmvdIt54LKFgpiiM20PKMruD7V2ZB+6zDHNdkcZTjUvb3bP73r+dirm3Y2ken2dvawLtggjWKNc9FUAD9BU9J+dH514zu3dki0Un50fnSAWoLrQ9b8SNBp/h7WToGrSyr5V8E3bMckY9x3qb863vAn/I3aX/ANdR/I11YWKlXgn3Q1uZP/CoP2gbf/UfFSzlPX99F/jEahk+GP7Sq/6v4k6Kw/2ht/8AbU19Rr0pc1+pLA0+kn97Omx8tf8ACs/2mlOf+Fi6Efr/APwtcH8NtL8X6P8AtmaRbeN9UtdX18WUpkurP/VlDaybQPkTkD/Zr7hr5Qvvl/b+03305v8A0kkrixGGjSlTkpN+8t3cD6wooor6EYV85/tM/wDI0aT/ANeZ/wDQ2r6Mr5z/AGmf+Ro0n/rzP/obUAeN1Y035tQtR/01X/0IVXqzpfzapaf9dk/9CFAH3Mv3RS0i/dFLQBGzbVJrzq81SfWI7We70ex1G1u3KWasfnQ8kFyw4BC5OPTvXozKGXB5Brkj8L/Duf8AjxZRnI2zyDH/AI9XzubYXFYpRjh2rdU7eXdM6qE4Q1n/AF+Jq+GbKex09Y7hLaJs5ENom2OMeg9ec8+9cp8av+RZtv8Ar5X/ANBauz0bQ7PQbU29lGYoid20uzc/Uk1x3xr/AORZtv8Ar5X/ANBavJz+i6XD9elLRqJ1YGV8bCXmZen6T49ks4DDqVrHCY12AkcLjj+Cpz4e+ILf8xi2H4//AGuvQNBH/Ensv+uKf+gir/4Vz4XhijOhTlKvU2X232KqY6fM7Qj9yPMF8OeP/wCLWrYD2P8A9rrC8aaL4m0/R0k1fVI7u2Myjy1HO7BwfuivbP5Vwvxh/wCRXj/6+U/k1GK4bw1CjKqqs24q+s2191zCpjpyi48sdfJHitFJ+dH518eeKLRSfnR+dAC18yeOGk0Xx34j+FtpZt5HjzUrS+twvl7RbyhjqjbT22WzkknJa4GK+mvzpjQxtKshjUyLwrkZI9cGu3D1/YN3V7/mtUxo8F+NOsaL4P1LWNa8OeN4vCfjjTtOjh/smRBLDqSqC1vE1uRuckuVV4vmBbHzY21p/Ea9utU8Q/Am8vbf7JeXGt+dPb4I8p20y5LLzzwSRz6V7LJZ280iyyQRvIv3XZASPoTT2jSRlLIGKnKkjkHGM1v9dilH3btXV/VWC588ftKSal4L8XadrumZCeK9JufB07vPsjjupP3tnJtAyzcXK57bhz64GueG4NC+I1p8HtOsxDoviC+0rWGhMJ8iOzs4c3KIV6FnsbZSW6m475r6mkiSYKJEEgU7gGGcH1HvR5aeYJDGpkA2hyOQPTNbU8w5aahy7J/8B/Idz5V8YrpNv8Z9Qtcy/wDCqrjV7U+KF2j7ENdIzGrk9Y222/nYyvmeVu6vX0/q2tWGhx2zX91HapcTpbQmQ4DyOcKo9yelWfssJjdDChR23MpUEE5zk/jTmjSQKGTdtIYZHQjvXLXxCrcia2/Hz9QuYB8f+GiIQdZsz52ptoqDzPvXq7g1uP8AbGxuPY185eAW0qH4vWtnM8g+FcesXUvg8Tqq2f8AawAM4XOCVEjXHkHG3cJdp4Svqr7NCcfuV4bePlH3vX6+9QX2mQXti9qVMUbKVUxqMpkHlcggEZParoYinRUkk/e/q68xaHivh++0G68H/Ej4keNX3+Hdcd4PLuA5VNJtt0MKBM/8tGaaTC/eM471P+ynofhbSfB+o3Xh/wDs23vNVuRqN7pmmXIlTTw4xDAcHhlRQCeMsGr1zQ/Dth4f8P2OiWkAXTrO3S2iiYAjYqgDPGO3pVy3s7e03eRBHBu6+WgXP5U6mKjKE4K+rVvRbCJ6KT86PzrywFopPzo/OgCtf6XresrDaeHdUXRtZknjFteSIHWNt46jB/ka0/8AhUP7QXX/AIWpY/8Afn/7VVzwj/yM2lf9fUX/AKEK+jlFfa5HhoVqUnJvR9G0bwWh8yf8Ki/aC/6KlY/9+v8A7VSf8Kj/AGgv+ip2P/fn/wC1V9PcUcV9P9Qh3f3lcp8R+HfDvjDwz+2P4GtfG2uxeIdWaxlkS7hXAEJhugqfdXowY9P4q+2xXy74+/5Pu+H/AP2Bn/8ARd7X1EtRgIKDqRXR/oNDqKKK9cZ4F+1B/wAfPh7/AHZ/5x14ZXuf7UH/AB8+Hv8Adn/nHXhlADoRukQepH86+6LT/j1h/wBxf5V8NWi7rqEerqP1r7ltv+PeL/dH8qAH1geJ9WurFrK2sUhe7upGVftBIQKqlmJx9B+ddATWRrnhnT/EUcSX8RmETFkw7IQTx1UivPxtOtUoOFB2k7fdfU0ptRleWxyOhQS6nqJuLXSdN06WCZop7rYHcupw3lgAYB9Se9ehdIzXL2/w18P2sySxWTI6MHBE8n3gc5+9zXUsMKT7V5+U4OthaclWSu30/wCGRtWqRnJcm39ebPEY7XWLr4ia2miTx291ucl5MY27l46Hviui/sP4ht01a1H4/wD2uofB+f8AhaWvY/uv/wChLXqY5HPWvgshyKnjqVarKrOP7yekZNLd9D2MZipUpQiop+6t0m9jzD/hHfiF1Os23/fX/wBrpy+GvHrfe12AfTn/ANkr07ikwK+m/wBVcN9qrUf/AG+zg+v1P5Y/cj5x8T2t7Z65cw6hcfartSN8o6Hjisr8K6b4kf8AI5ah9V/9BFcx+dfG1qEcPUlSg3aLa1d382zxqsnUm5PqLRSfnR+dYGQtH4Un50Z9jQB8ueL9HvdP+IniL4SxvMdH8d6pb67GyiX91ZNk6rF5g4Xc0CgLwP8AS/et74yX3h3wL4g8SeKvDPjCHw98Qo7KE3Wjswlj1cRq32eF7c8szZKK8eGGfqD9BtFG0iyFAZFGA2OQD1FRyWdvLMsrwI8q9HZASPxr2FjlePMtEtfN6b/d+o7nkPjK8vNS8f8AwJu7+xbTL6e9vJbiyZxIbeRtKnLRlhwdpJGR1xXPftF69d/DjxdBrOmxTtf+LNFm8LWps4d8jai0g+xZYnaoBmmPPoevAr6DaNHZWKAspypIzj6elJJDHNt3xq5Vty7hnaR3FRTxkYzhJx0Sat6tsLnyza+Fz4S+L5+EsCMNC1TVdP8AFtuYZGDNDDCRcLJkbcfabOBig7TZ78fTWta9p/h2zS71O8isrZpo7dZJmwDJI4RF+rMwA9zV0wxtKJTGpkUYD45A9M0SRpKoDoHAOQGGeR3rLEYr6y4uS23833EYN54+8O6feNa3OsWsFwt/FpZjd8EXUqB44f8AeZSCB3zXz1ceH7iLx5P8EJLZpfDN7raeJ4t3llP7JJNxJb7cD5ftyFOu7ZJ6c19QtbwuwJhRjuD5Kg/MOAfrWFH4Ntl8dXfiprieS8m06PTUhLfu4Y1keQso/vMXGT6ItaYevCjzWXT8ej+Wo9DzzwzHp/i7xl8RvG+usv8Awj1nBJ4atftBxALKAF7yXhiCrzFlJwCBbrWD+yfpngZY/EviDwilhp516SOZNHs5w72tlGWW3MqAnY77mkIJ43hcnbXtPhPwrZeD/DdpolmZZrW3Vl33JDSSliWZnIA3MSSScck1p29jbWrEwW8cJPB8tAufyoni1KM4RvrZL0X9XET0Un50fnXlgLRSfnR+dAC1FY+Afit4imu7vwd45ttB0gyhfsc0AysgRdxzsbOeO/tUn517H8Ff+RdvP+vxv/QEr3cmpxrYpRk+j8jSG55L/wAKj/aD/wCip2P/AH6/+00f8Kj/AGgv+iqWP/fn/wC1V9Ofj+lH41+gfUYfzP7zWx8i+Pvhb8crLwL4iuNW+JNnfaVDptxJd2qxczQiJi6D90OSoI6969I/Yt/5N/0P/rvdf+j3r0L4yf8AJJfG3/YDvf8A0Q9eefsV/wDJvuhf9d7r/wBHvXLCjGjjIpN6p7u5R7rRRRXugIecivh3Wzu1q/PrcSf+hGvuJulfDWrNu1S8PrM//oRoAq17T+zH/wAhzW/+vZP/AEI14tXtP7Mf/Ic1v/r3T/0I0AfQ9FFFACV82fG7/k6L4PfS4/rX0nXzZ8bv+Tovg99Lj+tedjv4a9V+aA+k16UtNWqWr6ra6Lps97eyrDbQI0kkjdlAJPHfgHiu+9lqBforBvPGGkafY215PfxJbzywwxsDuJeWRY4xgZPLOo9s5OADW6DmkpJ7MBaKKQ9qsCK4/wBS/wBDXzN/wT//AOSS63/2G5P/AEngr6ZuP9S/0NfM3/BP/wD5JLrf/Ybk/wDSeCvMqf73D0f6CPp+iiivTGFFFFABRRRQAUUUUAFFFFABTGYKpLEADrmkeRY42ZiFVRnJ6CvFvHXxSuL7xRBoOmwmW3CmW6k3bVjj5Ck+pY9F9s/S4wc3ZEyko7lr4ieG4ri8e9sVEtrNy7x8qr55HHTt+deaT+GS0h+WustvGF3oszPbSgKx+eNxuRx6Ef5PvT5PiFp8zbptBtWk7lJXQH6KDgVBRleHfCslxeQwonzuwUccfWvoHw/osWg6bFaRHdt5Z/7zdzXjH/CxJZITBY21vpkTcN5GTIw9N55re8L+PLrT2SOV/tNt/cY8qPY0AeuUVXs7yO+t454XDxOMgirFABRRRQAUUUUAFFFFAHm/xv8A+Resv+vtf/QHr0Cx/wCPeL/cFef/ABu/5F6y/wCvtf8A0B69Asf+PeL/AHBXxWA/5HuL/wAMD0qv+6U/V/oWKKKK+1PNOd8ZeF/+Es02Oz+0/Zdsol37N3QEYxketcd/wpP/AKiv/kv/APZV6kaOK8zEZfhsTPnqxuxWR5Z/wpMf9Bf/AMlv/sqP+FJj/oL/APkt/wDZV6nxRxXN/Y+C/k/EXKux5Z/wpMf9Bf8A8lv/ALKj/hSY/wCgv/5Lf/ZV6nxRxS/sfBfyfiPlXY8s/wCFJj/oMf8Akt/9lR/wpMf9Bj/yW/8Asq9S/Gj8af8AY+C/k/EOVdjy3/hSY/6C/wD5Lf8A2VH/AApMf9Bf/wAlv/sq9T4o4o/sfBfyfiHKux5Z/wAKTH/QX/8AJb/7Kj/hSY/6C/8A5Lf/AGVep8UcUf2Pgv5PxDlXY8s/4UmP+gv/AOS3/wBlS/8ACkh/0F//ACX/APsq9S4o4o/sfBfyfiHKux5b/wAKR/6i/wD5L/8A2VH/AApH/qL/APkv/wDZV6lmjNL+x8F/J+IuVHlv/Ckf+ov/AOS3/wBlSf8ACkx/0F//ACW/+yr1PdSbqf8AY+C/kHyrseW/8KTH/QX/APJb/wCyo/4UmP8AoL/+S3/2Vep8UcUf2Pgv5PxFyrseWf8ACk/+ov8A+S3/ANlV7Q/hP/Yur2t9/afm+Q+/y/I2549d1ei4FHArSGVYSnJTjHVByobTl6UtFewUFfKGof8AJ/2mf9g1v/SSSvq+vlDUP+T/AHTf+wcf/SSSvLxv/Lv/ABIR9XDvS0g70teoMK+cf2mf+Ro0of8ATl/7Uavo6vnL9pr/AJGjST/05n/0NqAPHKt6ON2sWIPTz0/9CFVKv+HxnXtNA/5+Y/8A0IUAfcC/dFLSL90UtABRRRQAh7V558bP+RXtv+vpf5NXoZ7V558bP+RXtv8Ar6X/ANBavleKP+RNiP8ACehl/wDvVP1Oz0H/AJAtl/1wT/0EVoVn6D/yBbL/AK4J/wCgitCvdwf+7UvRfkcU/iYtc94y8MnxXpS2YuPs2JVk37N3QEYxketdBR+ldFSnGrBwnsyDyr/hSLf9Bf8A8l//ALKj/hSLf9Bf/wAl/wD7KvVc0ZFeN/Y2C/l/EnlR5V/wpFv+gv8A+S//ANlR/wAKRb/oL/8Akv8A/ZV6rmjNH9jYL+T8Q5UeVf8ACkW/6C//AJL/AP2VH/CkW/6C/wD5L/8A2Veq5FFH9jYL+T8Q5UeV/wDCkW/6C3/kD/7Kj/hSLf8AQW/8gf8A2VeqZozR/Y2C/k/EOVHlX/CkW/6C/wD5L/8A2VL/AMKQb/oL/wDkv/8AZV6p9aM0/wCxsF/J+IcqPK/+FIN/0F//ACX/APsqT/hSLf8AQX/8l/8A7KvVaM0v7GwX8n4hyo8q/wCFIt/0F/8AyX/+ypf+FIt/0Fv/ACB/9lXqlGaP7GwX8n4hyo8q/wCFIt/0F/8AyX/+yo/4Ui3/AEF//Jf/AOyr1XNGRR/Y2C/k/EOVHlX/AApFv+gv/wCS/wD9lR/wpFv+gv8A+S//ANlXqvFGaP7GwX8v4hyo8q/4Uk3/AEF//Jf/AOyo/wCFIt/0GP8AyX/+yr1XNJ+H60/7GwX8ocqPNtJ+ELaXqlpeHVPN+zyrLs8nG7BzjO6vSR0o4pa9DD4WjhYuNJWTHYWiiiu0Z8t+Pf8Ak+/4ff8AYGf/ANF3tfUS18vePv8Ak+74ff8AYGf/ANF3tfUS15mE+Op6/oJC0UUV6YzwH9qD/j68Oj/Yn/nHXhte5ftQf8fXh3/cuP5x14bQBPp4LX9sB1Mq/wAxX3Jb/wCpj/3R/Kvh7ShnVLMf9Nk/9CFfcUP+qT6CgCSiiigApG+6aWkb7ppPZgeVeD/+Sqa99JP/AENa9V9K8r8Hf8lU136Sf+hpXqnpXxPCf+6Vf+vk/wA2ermX8SP+GP5IWiiivtzyjzvxJ8K28QazPf8A9peT5pB2eTnGBjrms3/hSLf9Bf8A8l//ALKvVelGa8WeU4SpJzlHVk8qPKv+FIn/AKC3/kD/AOyo/wCFIn/oLf8AkD/7KvVeaOaj+xsF/IHKjyr/AIUi3/QX/wDJf/7Kj/hSLf8AQX/8l/8A7KvVcij8aX9jYL+X8Q5UeVf8KRb/AKC//kv/APZUf8KRb/oL/wDkv/8AZV6pupeaf9jYL+QOVHlX/Ckm/wCgv/5L/wD2VH/CkT/0F/8AyB/9lXquaMij+xsF/KHKjyr/AIUk3/QX/wDJf/7Kj/hSTf8AQX/8l/8A7KvVc0Zo/sbBfyByo8q/4Uk3/QX/APJf/wCyo/4Uif8AoL/+QP8A7KvVc0Zo/sfBfyhyo8q/4Ui3/QX/APJf/wCypf8AhSLf9Bb/AMgf/ZV6pxRxS/sbBfyfiHKjyv8A4Ui3/QW/8gf/AGVJ/wAKRb/oL/8Akv8A/ZV6rRmj+xsF/J+IcqPKv+FIt/0F/wDyX/8AsqP+FIt/0F//ACX/APsq9VzRmj+xsF/J+IcqPKv+FIt/0Fv/ACX/APsq7HwT4UPhHT5rT7T9q8yUy7tm3HyqMdT6V0nFFdOHy7DYafPSjZgopbC0UUV6pRx3xk/5JH42/wCwJe/+iHrzv9iv/k33Qv8Arvdf+j3r0T4yf8kj8bf9gS9/9EPXnf7Ff/Jvuhf9d7r/ANHvXlz/AN8h6MD3WiiivUAK+F9QbdqFyfWVj+pr7or4UvDuu5z/ANNG/nQBFXtH7Mf/ACH9a/69k/8AQq8Xr2v9mIH+2NbPbyI//QjQB9C0UUUAJXzZ8bv+Tovg99Lj+tfSdfNnxu/5Oi+D30uP6152O/hr1X5oD6Rrlfiboeha74L1L/hItPj1LTrWCS6MbIGZSsbfMmejYJwfeusXpWd4hmtLfQdRlv22WKW8jTt1xHtO79M12TSlFpgeOeD/AAP9j1TRr+0+E3h+whjkjkjv/tsZuIUOP3m0RffCknAPXv3r3Nfu14d4TvNC023V0j8YaRb6Zd2FsltqV+SjLcSrHC20SNmMsQCDg47V7kvSuXDW5QClrzj4gx+M49WLeHomuLa60ySzjZZkVbO6aRcTurEFgEzjaSQVxg7sjQ+H3hu68K3Wq6ebnULvTVMLW8uo3TXDtIVJlKsxJ25K8dAc4ro9pefJYDsbj/Uv9DXzN/wT/wD+SS63/wBhuT/0ngr6ZuP9S/0NfM3/AAT/AP8Akkut/wDYbk/9J4K46n+9w9H+gj6fooor0xhRRRQAUUUUAFFFFABRRRQBx/xQ8RReG/Cd1dSvtUKWbnBKqMkD3PA/GvAPD8M9ro7X16P+JjqLfa7j/Z3fdQeyrgY9q9O/aQ2yeFbK3dd0V1cx28i+qtLGCP1rhdYXapUDGK6vhof4n+COb4q3ovzOb1HUCrN81ZLagd3WpNSzk1jMW3H0rlOk6Kx1A7gM1cvNaudK1bRbpZW+xSTfZbiLPHz/AHGx2wwHPocVg2Ody1qa5b/aPCuogjJjiMygd2T5x+qiuig0ppPZ6feY1r8ja6H0J8NdUbzJbNjlGHmLz0I6/wCfavQP4a8g+Gs7T6ppsh4Mibjj3QmvX1rCUeVtGkZcyuOooopFBRRRQAUUUUAeb/G7/kXrL/r7X/0B69Asf+PeL/cFef8Axu/5F6y/6+1/9AevQLL/AI9ov9wV8VgP+R7i/wDDA9Kr/ulP1f6FiiiivtTzSC5zt4OKrbm9T+dWLr7tVVr5bMak41bJ9DeC0Hbm/vN+dG5v7zfnRSV5ftqn8zLsiO4keOGRwSSqkjJr5ZHxY+Leh/AWz+MP9p6T4n02HTf7Y1Xw21h9lkFop3ztDcCTho4g7DcrbtuMZwK+prhTJBIg6spAr5jt/hP8U9U+Atn8IJrDw/oel3Omtomp+IF1CS7kFo4KTGG38lAXeMso3OApYHnGK7KFZ296XVb9upLR6P4s/ab8JeDbeC9vYNfm0JoIbm41+10a5k060hlRHjkluNm3aVkUkru25+bbVW3/AGhC3x61j4dv4e16SG0tLGWLUYNJuXh8ydpwzSShSixARpiToW8wZ+U48n+On7M3jXx5ZeOvD2mKt54fvtHt9N8Mxy+JLqztNISO3CMj2cS7Ji0gJ3uWOGAwAuD6/eeFfF+kfGrUvEGj2Wn3ej6zoVlpk11cXbJLZTW8tywkEQQ+apFwON6nK49625oqN+bfzAu+Hf2hvDXiDxtp/hZrbXtH1HVElfSpNc0i4sYtTES7pRAZVUsVX5irBSV+YAgE1h/Hb4tap4F8ceBNBTWLTwloeutdC78T6hCJYYZkCCC1G4hEeUuxDMcfuiAMnI8r8B/s3+P4/i18I/F/iVlnvvCct++t6nd+JbvUX1KS4sZYPMghlUR26iRl/dpgBWxztGfoP4mQ69fW8Wn6f4Q0fxfo15DLFf2uq3ogxnAUBTFIrqQXznHbrk0nJQlFRldeoHDeOPj9e/CfUPh9oupWWreMrnW3YXereH9CuJ4JY/InkQw+VvUyExISgYnYS2MYrd8Y/tKeFvBWvX+mXNr4gv00vb/a+o6ZpE9zZ6UGQSD7RKikL8jKxA3FVILADmuD8K/BXxt8PvAPw1t9OtdM1bVfDuvXmqz6Sb54LW1t7iK7QWtvKYySkP2hEXKAFU6DpWpq3gP4haOvxK0LQdJ0fU9J8YXM93b6le6jJFJYvPbpFKskYjbzArKWXaw4IXjGafMm/i/Hz/yA7TXv2gvDWi/EDTPBUcer6x4gv7a1vkh0jT5rpIrWeV4kuZJEG1Ig0bbmYjAwcGlh+PmhyeOLTwzNpniSxe9uGs7PVL3RbmGxurhULmJJXUZO1WIYgK207WNY/wAOfg3feAfipJq6zRz6HD4N0rw3BJJITcNLazXLM7jGMFZU5zyc8V594e+Bnjx/Hnh/VvEAbU73TfEc2pz65ceJ7uZJbUm4EUUNgVEMO1ZY1wAMbDyTyVGUW2ud7dxfI9A1T9qjwlpfim30c2XiK8S41f8AsCHVbPR5prGTUAxV7cTKMblKsGONo2MMkqcX7z9pPwfYeI59PkbVjYW2oro8/iCPTZm0uG+aVYhbPchdoYSMsZP3Fc7WYMCK+SvA9/caL4y07xjqQh8ReF7nx5e/2X4Xh10Jc2+oz38sS3I077OredGjO7xtKwVfNk27skeseGf2U20Ga90HV/Bln4t0N9euNRg1S78T3sZMEt410nnWpBR5YmfGQcOYwxwWNayUYLWT+8SPo/xtc+KIdGUeFIdOl1SSZFaTVpZFhgi/jk2oCZGA6JlAxPLrXK/s0fELWPir8B/BPi3XWiOr6tpyXNz9mTy495JB2rk4HHrXY+K7vWbPSS2haXb6vfMwT7PdXhtU2kHLb9j8jjjHfrXnP7LPgnxZ8MPg94e8FeK9N0+1uNBso7WO606/a5S5OWLHBiTZj5cdc57Y54/aSdJvm1v31L6nsW5/7zfnRuf+8350tFcvtan8zCwm5v7zfnT4mbzF+YkfWmU+P/WL9a3oVZurFOT3QNaF1elLTf8AGnV9scwlfKOof8n/AGm/9g4/+kklfV1fJ+of8pAdL/7Brf8ApJJXl43/AJd/4kI+saKKK9QYV85ftM/8jRpP/Xl/7O1fRtfOX7TX/I0aT/15n/0NqAPHK0vDQ3eI9KHrdxf+his2tTwqu7xRo49byEf+RFoA+216UtIv3RS0AFFFFACHtXnnxs/5Fe2/6+l/9BavQz2rzz41/wDIs2v/AF9L/Jq+V4o/5E2I/wAJ6GX/AO9U/U7PQf8AkC2X/XBP/QRWhWfoP/IFsv8Argn/AKCK0O1e7g/92pei/I4qnxMD3qG5YqhIOKmNQ3X+r/GrxDaoya7CjuV9zf3j+dG5v7x/Okor4z21T+ZnRZC+ZJ/eP50jO394/nSUNT9tU/mf3hZHzBcfFD4tWvwt8SfEyw1bSdYstCvtVkn8Mz6eITNZWlzKhVLkSZWQRxFtxVgSMbea9D1j9p7wvo/h/StdWw8SaloN/psOrtqumaJcz2lraSxiRJpZAmANrAlV3MByVArhF+GPxPb4Y+I/hxFp+gafpmu3uqRzeIW1GSeSGzvLiZyy2whXMnly4wZAAecnFZvxK/Zy8T6hDfeHNEgk1DwdD4ZttC0CybxPd6db6W0ULxF5beFcXGR5fLk8JjAGc+n7TmdpS+59CT0jUP2iYbP422HgWPQPEF5aXdjFcLqlpo1zLb75HjCP5yrs8kLJ80nRSCCRg1r2P7QGgXnjiy8MzWHiDSp9QmkttP1DVNIntbO+mRWd4opJFGWCo7DIAYKSpYCsxvCfizQ/iJ4R1jTtOsNS06HQho2otNemGS2PmxN5qL5ZEgAV/lyuTjnnI8w0H4AeO7r4ieBNe18fab3QNduNTv8AWLrxLd3a3kTw3ESrBZuPKtwPNT5V6BSATyTDkpa83TuB6P8AtB/FzVvhxqvgLT7a8g8O6P4g1KS01HxVfQ+db6YqxF40ZchQ0zgIrsdq4OQcisj4gfH7VvgvZ/Dix1SO88d3fiLVmtrjVtB0SeSGS1aK5mjMKxF1M22OIbQTuUSOAAOPRviNJ4jkt7W20fwvpPinTLlJY9RtdTvjbHaQuzYDFIrg5bIOOgxmvBvDP7O/jrwL8PfB8WnxaTeapo/j648Wr4f+2vDY6fZzRXUQsLaXyz8sQuAV+RVJ3cCinVvH3pfj/VgZ6z4u/aV8LeD9audLktvEGr3djBFdasNF0a5vRpEUil0a6MaHyyUBbyxl9o3bcEEx6x+1B4K0vxpoXhS2n1TXNb1zTLfWbCDRdOnvFlsppWjW4LopVEUqSxYjA556VgR+E/iT4B8bfEXVPDWjaHr1l4vlt9Th+3ai9s9heLZRW0kcmInMkX7iNgVwRuYY71g/Bn9mPV/hH8ZvCuspfW9/4e0X4aw+EDM7kXEt4l957Ps24EZUnHzZ6DHejmildze3cD0/Vvj1omh+Mrfw/f6b4ktY57yPT01qXRrhdNNy7BUi+0FcZZiFDfcycbs1z/ir9rbwT4S1y506SHxBqkdtq0egzahpOjXF1aJqTsqrZ+aq4aXc6ghcgMdpO7Kjz/XPgP4+8ReMby71Urqrf8JdBrFrq1x4ku1gg02K8SaK2j09V8lXSJdm4j5iCxO45Hgw1Y+E/FPinx7qSWviXwxb/Ei8uIvB9try2t3NqovjDbyrpqW+5rlAqOEMp8xU84rubI1glLXmb+ZPyPsvW/2mvBnh/XL+wupdUbT9NvU03Udfh06Z9Lsbp2VVhmuQu0NudAxGVQsA7Ka7zxddeIYdCm/4RqCxn1dmRIhqUjpAgLAM7bAWbauSFGNxAG5c5HzTL+y28mpeKNL1rwTp/jTQNY1q41CO7uPE15bAQTzecUntQCjsjM2Cp+YKp4PNfTXiK61Sx0maTRtOh1TUF2iO1uLr7OjDIBy+x8YGT905xXPUqcrjyyf3lHnn7LPxG8QfFT4H6H4k8Sy202t3Fzf29xJZQmGJvIvp4FKoWOPliXue9et+Y394/nXiX7K/gXxf8LfhjaeE/Fem6dbSWVzeXEd1p1+1ys32i8nuMFTEhXaJVXPOeele11hWqzU3yy09RpKwvmP6n86PMf1P50UlY+3qfzMdkPWRtyjPertUY/8AWJ9RV+vostlKVOXM76mM9wooor2jM+XPHv8Ayfh8Pv8AsDP/AOgXtfUdfLnjwf8AGd/w/wD+wM//AKLva+o68zB/FU/xMAooor0wPAf2oP8Aj68O/wC5P/OOvDa9y/ag/wCPrw7/ALk/8468NoAu6Iu7WrAHobiP/wBCFfcEf+rX6V8Q+H13a9po9bmIf+PivuBaAFooooAKa33TTqa33TSewHlngz/kqmu/7sn/AKGleqV5X4M/5Kprv+7J/wChpXqlfE8J/wC6Vv8Ar7P8z1Mx/ix/wr8haKKK+3PLKUrMJDg0zzH9T+dOm/1hplfFYipNVZJSe50JKwvmP6n86PMf1P50lLXP7ap/MyrI8h/aG8e+JvB7fDjT/DOoQaZd+JvFkGh3F3cWwuPLge0u5SVQkDdugTn0zVDwj8VPE3hH4nar4B8e3tprN0uiP4j03VtJ0+WJ57WObypongUyfvELxYKn595woxze/aE8A+JPGknw5v8Awza2d9d+GfFkGuT219dNbrLClrdRFVcI+G3Tp1GMA1z2pfCfx54w8ReLPHF7Ppvhfxi3hi58N+Go9OunuFsvNbzTcSysihnMqQ4AT5RGeW3YHowrfu0pS/zvcho6nS/2jdF1Rdai/sHxfY6jplqL0abeeHrpLq7ty4QSwR7SZBuYAr95f4lFZHw1/aYTxh8FdB8b3vhfxML3UEhjOmafod1JJNM0IkJgUr80OCcSkhDjG7NZnwb+D/iHwr47i17UtPbT4/7Dk06Y3fia81q5nuGljfzC04+RTtbhfx7AY+l/Cv4kW/wN+H3hG4tIYbjw3cQWupWWkeIp7IarZxWzopFzHGskeZCjGMdQmC2Diqc1spfiM9u+HPxK0n4peHTrOiteRxxzyWlxbX1tJbXFtcRnbJDLE4BV1PBH5EjBryb4N/FrxP8AEzxZrIv/ABXpej3Wk61fWt74GfTSL2GzieSKFvMZwztJtjm81VMZDlAMgkdb+z38N9S+F/hXW7HUYYbZ7/WrnU4beG9lvPJjlCEI00vzuykEFj1xn2rhfHXwr8d/Fnxt8PtS1Tw74f8ACt14Z8QQ6rN4i0/Unnup7WJmJtY18pGCTLtV1ZioGeGwKzjU95pS073A0Phn+1xpXiXRfiBq/ifT9U8KaR4U1G9il1LUNLube3+zQyBF3M68zncMxL82cALnium0n9p/wjqEmsQX0OveHbzTdNuNYNnr2kXFlNc2UABlnhV1HmBcjKj5xkZUZFec6t8CfHereAPi34OiTSbMa94hn8SaHq7TmYNIbqG5ihngKDaN8RViGYYI4PSpPiR8GPHXxz8QWuu6/p2l+F59C8L65pem2lpqbXX2y91G2WBmlYwrshRUBGAWJfJxtwdOaLd+dpeoHovg/wDaW8N+PvBd34r0LTfFGoaHHFDLazx6Bd7tQEg+X7Mnl7pMN8rEDapBJIX5qbH+074M/wCEU1DWr2TVtKuNP1KHRrnQ77TZ01Nb+ZUaC2W2ClpHkWWNl2blIbOcK2OR1T4QfEDT/wBmX4YeB9B1SOy1rw/b6LZ67BZ38tn/AGjaW0SJdW0N3GBJCXKgiRQCQpXgMa8D+J/wR8R+CdE1ubUH0vw4fFnj/RLzSjceIJZWtDbWZCl9RuI2eGXzIAVdQxJIjHD4pwUZNrne/cD6l0f9qTwjqek+Ir+4tvEGjf2DeQadd2up6PcRzteTAGO2hQKxmlO5Plj3cSIejA11Xw++LOlfEabVLO1g1HStY0toxfaRq9q1tdW4kBMbMp4KuAcMpIO1hnIIHyp4N8G6l8TvCfjTwLaw2+q+KvD/AIh03xBq2tSeIJbu21u6bcHga6iijMMqQwIhWNAEzH8ozz9C/BT4aReCdQ13Um8H2/hi+1JLeKWZNcn1SW5WLzCod5QNoUyNgD+8fas6rUE7Sd/X0ArfEHx5458L/Gb4c6XA+kweDde1WbTZo9skt5ORYXFxv3HCxBXhUYG8tknK9K9k3P8A3j+deK/GDwz468SfEHwDqegaBpV7pnhfVZNTeS81ZreS432VxblAggYLhpwcknIXtmvY7VpJII2mjEUpUF0VtwVscjPf61hUqT5YtS6dwSRP5j+p/OjzH9T+dFFc/t6n8zKsg3N/eP51YtmLKcnPNV6sWv3T9a9HL6k5VrNkT2LFFFFfVmBxvxj/AOSR+Nv+wJe/+iHrz39iz/k3zQv+u91/6PevQ/jEP+LS+NR/1Bb3/wBEPXnv7F3/ACb7of8A13uv/R715cv98h6MD3OiiivUARulfCdwd08h/wBo/wA6+7a+D2OWJ9aACvbf2YR/xM9cP/TGP/0I14lXt/7MP/IQ1z/rlGP1NAH0DRRRQAlfNnxu/wCTovg99Lj+tfSdfNnxu/5Oi+D30uP6152O/hr1X5oD6THSuO8d+KtD0m0uNK1pNRe3vLZxIbPTbm5URkFTloo2Cnr15712HWsrxRpkOseHNUsbmf7Pb3NrJDJNnGxWUgtn2BrrqJuL5dwPBtJuvDN/r2jG88Y+INQtdSu7Nbe3uvD80Ed7JA++3Vpfs4GA2GJyM7eeM19Hr0r58t9bPik6DoV/8R/A91YW9/aSqumEG6uWhnjeFEzMQrMyKpIB6nFfQa9K5cKrJgeC/HzTYL3xr4bfW/CfiDxt4ZjsrgSafo8DyJBcl4/LmO113Nt8xcMeA2RzXVfA6z8P2elaiPDvgrWPBcDTqZbfWbdoXnbb99QXfIA46isX41tps3i7Q7TxpdXVl4Bms5w7W8s8EMl95kflpPJEQVXZvZQSASGznArW+B95plxDrSeGbzUL7wjFNGmnSXzyuqsE2ypC8vztGGUdSQGLY4qI6Yh/0/8AhgPT7j/Uv9DXzN/wT/8A+SS63/2G5P8A0ngr6ZuP9S/0NfM3/BP/AP5JLrf/AGG5P/SeCip/vcPR/oI+n6KKK9MYUUUUAFFFFABRRRQAUUUUAeT/ALRFjNJ4HOoRxtKNPlS5KKMk7ZEb8vlP51w2oQi5hWRGDo6hlZTkEEcHNfRkkayKVdQ6nqrDINcj4r8BjWpPPtHjgl2hfLK4U46dOlae0vBQ7N/iZKFpuV9z5y1GwLE8fpWQ2nnceK9U17wbqGlsftNrIi54cDKn8RxXPNovzdP0rM1OasbE/Lwa6EWIbS7tWGVML5/75NXrTR9uOKta9bS2fhbVpYY2eVLSVlVRkkhDgVpT+NLzIqfA2dB8Ed8mn+GpXyXa1RiT/wBczXt3avNPhdoL29npjpGY7e3gVQSOp2Yx+tel06rUqkmu4qatCK8h1FFFZGgUUUUAFFFJ60Aeb/HA/wDFPWX/AF9r/wCgPXf2Y/0WH02j+VcR8YNNu9T0G1W0gkuHjuVZljGSBscZ/MiqEPjrxT5apH4bf5Rj5t1fmlTMqWU51iJ14ytOMbWTe2+yPajQliMLBQa0bvdpdu56duFG6vL28a+NWPy+H1H1jY/+zU3/AITLxx/0AF/79t/8VXqf62YLpTm/+3H/AJGH9n1f5o/ej0y4+7VX0ritF8R+LdQ1SCK/0dbezYnzJNpXbx7n1rtF+lc8sfTzGTqwi4rb3k0/uZlKjKi+WTT9HcfRRRWZA1mC8ngVxnh34z/D/wAXa5/Y2heOfDWtaxhj/Z+n6vbz3GF+9+7Ry3HfjiuvvP8Aj2l/3T/KvjnxPofhub/gnfa6zq0Nrb6vpHhk3+iakcR3VrqaKWtGglHzJIZhEBtIJzjvXZRpxqL3u6RLPsvjrTdw3YyM9cV8YfHf4x+L/CvgfW9f0rxB4r/4TDwvpFpdappGmaZbNpGnXJtopZEupJApkDbs7UdmUOMACu8sfBeo/wDDW3jLxDL481vTtOtNA0fUJtNQ24tJIvMvQYXLRFhGvls3DBsyNzjAF/Vna7Ycx9K4FYHi7x34a8A2Md74n8QaX4cspJBEl1q17Faxs5BwoaRgCeDxXyz4T+N2vL8f/hNp+l694q8R+EPHq6gZL7xFp8FrZzLFZNdwyWSqqSgDCgll2lWGCTyPXvjp8NfF3iDxR4P8beBrrSZPEnhf7SqaPrxkFlfQzhFkG5AWilAT5JArY3MpGGNT7Dlmoze4XPV9F17TfEml2up6TqFpqmnXSeZb3llOs0My9mR1JDD3BrQ4r451xbn45X3wd17Rte174Y7tdv8ASLrQdL+yNHYX0Fvfi5dGaFhI29Xj3j5WU5ABOa6rxVq3jHxUPit4lsPiHe+FI/BNzLbWGkwwQG3P2e2jnMl2HUs4lZjjDJ+7Ixg803h3ff8Aq9gufTnFHFfNPh/xN40+K3xx0q0TxRqPhPQLfwfonia40e0ghLz3M1xdCSGR5EJEZWNVZVwTgYIxzlWvxO1e4+LXha70HxJ4z13w/qmvyabd3F9p1rDopXy51MMJKpKXSSAEOoZTk/Mc8L6tK9kwufScPg/QbfWm1mLRNOj1duG1BLSMXB4xzJjd0461scV8Z2vi74hfEL4iaZDpPivxdZ30Xje7t9Q0+y0yNdJXQ7eaWMP9odCuT5cYJDl2d3XYMZRdH+KXxb8ftqPivwtpfiu7vIfFE1hbaPs02DRlsLfUGt5oZ/MmNwJjCkjltqkSFQBsGTcsLP7Uhcx9Z+J/FmieC9Ik1bxDrGn6DpcTKsl7qd0lvCpJwAXchQSeOtL4Y8VaL400aLVvD2sWGuaZMWEV7ptylxC5UkEB0JBwQQcHqDWd8QtW8L+G/Dra74uFjHpekyLdpcX0SyeTMMqjRggnzPmKrt+YlsDrXnH7K/gO+8K+HfGGv6hpraFL408SXXiSPRXAElhFKkccccmOA5WJXYD7rSMMnGTioR9m5Pcd9T3CiiiuUoKWL/WD60lcd8Ute8UeG/B9xfeD9Hi13W0kQJZy5wVJ+Y4BBJA7ZH9K2oyUakZPoyXsd9T6+UB8cP2hf+iXWv8A4DTf/HaX/heH7Qn/AES61/8AAab/AOO19T9fh/LL7mctz6txXyfqX/KQDSj3/s9v/SOSl/4Xh+0L/wBEutf/AAGm/wDjtZnwt8O/Evxj+0xp3jrxb4SfQYIbSWOZ1BSIAQNGgAZiSxLjgH1PauStiFiJQjGL0aezHufYdFFFe+AV85ftNf8AI0aT/wBeZ/8AQ2r6Nr5y/aa/5GjSf+vM/wDobUAeOVr+DufF2hjrm+g/9GLWRW14JG7xloI9dQtx/wCRFoA+1VpaKKACiiigBvNeefGv/kWbf/r5X/0Fq9C5zXCfF7T7nUPDcS20Ek7rcKxWNckDDDP6ivleJozqZRiIxV3y7LU9DANRxUG31Os0H/kD2f8A1xT/ANBFX68tsvH+v29pFDF4amcRoEDEsM4GP7tTt488Vv8A6vw2w+u415eF4qwEKEIOM7pL7Eu3obzy+tzN6fev8z0uobn/AFf415q3jbxr/D4fXH/XN/8AGrej+J/Fl9qkEF9oqQWr/fkVWG3j1JrSfE+ExEXSjTneWnwNL77GTwNSK5m1p5r/ADO4opBnvS1zGAUjdqWkbpVIDitO+M3w/wBX8SHw7Y+OvDd94gErwHSbfV7eS6EiEh08oPu3Lg5GMjBzXa+9fIOsaL4fvv2MviJf63Baq+mXfiLULC+kASW0vY725a3lik+8kgkCbWUg5471V8cfErxpa/DbTLo6942j+IOleEbLUtW0nQdMtWs7G8a2EryXbzAAqXjcGNZCwGcL0Ndzwya91k3PsfcN23v1pa+aP+EN1nxJ+0t4d8Rf8J7r2mwTeHIdSfSbb7MLUqksIe3+aIt5chBZvm3ZY4IGBWHb/FvWofjJ8PH0XX/FuveGvE+s3Gm3F1q9hbQaTJH9mnlUW2FSXcrQqA+0oyl/mY4rP6vLo+gXPpnxT4v0LwPpbap4j1rT9A01WCNeapdR20IY8AF3IGT2Gak8OeKNH8YaNbatoWrWOt6VdbvIvtOuUngl2sVbbIhKthlIODwQR2rzX4+fC/xD42u/BniPwjqOnxeKPCOoSajZabrYdtOvt8LQukoXLI4VzslAYoSePmNfP3i/XJPj1Z/CW+0q91j4V6hp3xFu/DuraJpRtXjstUjtb97iaOQxFZW37x5mNrCZyV3ci6dFTimmFz7h2ijaK+bGuvGHxM+InxM021+JN34Ls/AclnYWcdpBbu08jWUV093eiRTvRjJtCqUG2N+5yOC+HvxY+IPxz+OHw80s+KNQ8GaPqHw0sfF+oabZW0Jae6F+0TrukQlEkBXOOdoAGCc1P1WVr32C59ocVkHwnoja4NaOjaedZxj+0PsqfaMbduPMxu+7x16cV8z+Nvipq1r8SIdS8MeIvGer6daeKbXRdQU2NomgQ7rtbWe1LsqzNIhY/PHvw+ATjOOS1jxt8T/id4+1XTtD8VeKNJ1O28fHR47TQdPiOlpoMFwsVxO1zIjL5wXzd2X3CRNgjwM1ccLPe9hXPtvHtWbr/iHSvCuk3Oq61qVnpGmW43TXt/OkMMQzjLOxAAyR1NfI+pfE74xeLrvxpr/grT/EuratpHiGbTNL0aAabDohgtbjy5IrkyT/AGgySJvYvhcExhQANzfVXja+8P6X4butS8U/YU0ew23ksuoIrRRMhDK+GB+ZWAIxzkDHNZSoum1d7jTJPCvjbw9480s6l4a17TPEWm+YYjeaVeR3MQcYyu+NiMjI468it6vDP2afDN4uo/EXx5c6TJ4dt/HGtrqdlo9xGEmhto7eO3SWVRjbJN5RmKYyvmYJJya9zrKrFRk0hoKKKKxGEf3l+oq+K4H4n694j8NeDby/8KaMuu63GyCGzfOGy4DHAIJwuTgEV4f/AMLy/aE/6JXbf+A83/x2vdwOIhRg4tN+ibMKm59XUV8o/wDC8P2g/wDollr/AOA83/x2j/heH7Qf/RLLX/wHm/8Ajtel9fh/K/uZmW/Hn/J9/gD/ALAz/wDou9r6iH6V8feA9J+J/wAQP2lfC/jTxb4ObQbfTrOW1lkjQpEE8ucKfnYksWmA4/Lg19g9qWCvLnnayb6iQ6iiivVGeA/tQf8AH54d/wByf+cdeG17j+1B/wAffh7/AHJ/5x14dQBo+G/m8RaX/wBfUX/oYr7fr4f8O/8AIwaX/wBfUX/oYr7goAKKKKACmt92nU1/u0nsB5Z4N/5Kprv0k/8AQ0r1LPavG5LjVvC/jzVr6HSJ7xJiyrtBAwSCDkA+lbH/AAsLxI/3PDUo+rN/hX5Rkud4bK6dbD4mMlL2k3ZRb0b01SsfQ4vC1K8ozg1blXVdvU9NBFG6vMW8ceMW+54dx9VY/wBaj/4TTxv/ANAFP+/b/wDxVfQ/62YHpCb/AO3H/kcP9n1e8fvR6LKCXam1ieFdQ1PUtPaXVbMWVxuICDjI9cZOK265PbxxP72KaUtdVZ/cYOLg+V9BaKKKQjn/ABd448N/D/TYtQ8T+INL8N2Ekot0u9XvY7WJpCrMEDyMAWIVjjOcKT2qXwr4y0Dx1pY1Pw3rmm+IdOLmMXmlXcdzDuHVd8ZIyPTNeQftSKG8QfAdWAZT8RbTIbp/yD9QrlvEFzpvw1/ah8UXOkyxeGPD8ngK41jxNdafboY4LqO5UW11JGAQZfK+0YJUlxHznaMd8aKlBNbsm59Qn5RmhSG5FfLPw71LxV4o8W634V/4Srx/Y6TqmgveWmq+IrOygu45I5418+1CqSEdX5WWMY4wOeMn4Rrd+Cf2UfhnbzeOPGF5e65DavYw6Pa20962bTf9hgzGFSNREz735GDl8Gk8M11FzH17wB7VyafFXwXJ4w/4RJPF+hSeKtxX+w11KE32QhkI8jdvzsG7p056Vw37L3i7xB4q8B6wniS41C61DSddvNLWTWIoY73yo2XYJxCTGZAGwSpwcZrzOzXUv2W/GmkaVremaZ4q+H/jLxi50nxBCirqularqEshRbhWBE6lnZBcKwdVyrDaBlQo+9KD3Q7n1gpDfSlr4U8Mah4m+Bvwc+PHjTTfHN5qOoWvi3UNMtoteEJsraeS+hhN64jjVi4EpYjO35fu12nxS8ZeOvgH4qi0KDxnq3jG18QeE/EepLcanBb+bpN1Y20csU6tFGo8ti5TYwxuKkHtV/VW5WTFc+uKp6jptprFnLaX9rDeWko2yW9xGJI3Gc4KkYPNfLvgHxdrOh/s0+E/GHj74qa/ca148sdJNn/ZunW5mjurmFXS1s4VibLupwWbOSrP8g6cPN+0F4+0Xw74w8Om+121lsPG+jaFHfa5a28mvW+n3tvFPPsig3RyzIDIY8K7bCCQWXFCws7tJ7BzH2vpOi6foNlHZ6ZY2+nWcedlvaQrFGuTk4VQAOavcV8ZTeNviD4O8A+K9Xt/E/izVbbX/Fun6H4el1qyt4L2GxkWMSS20cqxL5rSSTRo0/B8uM7f73svwHvfHzeIvFln4n0/XYPDMS2s2i3XiV7Rr5ncOLiJjbSOpRSsbKTg/vCOQBWdSg4pybHc7zWPir4K8O+JLXw7q3jHQdM8QXRjEGk3mpwRXUpc7UCxMwZtx4GByeldYMdRXzZ+1J4b0r4h2Mvwv8N6NYXPjLxZe2N7ql+lshOm2kEseb+5YAEsEh8qIFgzHABwpr6RQbVA9qipBRin1ZQ+iiiuYAqe1+6frVevC/il8UPi94X8aXdh4S8BQ63oaRxtFfOkkhkYqC33XGMHIwR2z3rvwVRUaqlJfdqRPY+hKK+Uf+F4ftB/9Estf/Aeb/47Sf8AC8f2hP8Aollr/wCA83/x2voPr8P5X9zOY+gPjF/ySXxr/wBgS9/9EPXnf7Fv/Jv+h/8AXe6/9HvXl/if4pfH3xV4b1XR7j4YQw2+o2stpJJHbzb1WRChK5lxnB4r2T9lfwrq/gz4L6PpetWMun6jHLcO9vMAGUNKzLkZ4yCDWNOp7fFRkk0knurDPYKKKK9oBG6V8IV94V8HL0oAWvcv2YR/peunH8Ef82rw2vdP2Yf9drp9ov8A2agD3yiiigBK+bPjd/ydF8Hvpcf1r6Tr5s+N3/J0Xwe+lx/WvOx38Neq/NAfSS1k+KdLOteG9T0/bv8AtVtJBt8zy87lI+9g469cH6Vrr0rJ8UaZLrXh3U7CCUQzXVtJCkhJAVmUgE47c12y1iwPN/AfjLxA1np2nfYfCU9vaPDY3VxpniDcIm4XCxCHhsAkIWBJGM969dH3cdK+bfDulazqmuSeHrHwxpPh+D7Vpc961nqts624s7gSsyRRfOTJtUDcq4zzX0mOlcmFd4sDxLxhrGqjxdB4ds/irBoGo+Tc3svnaXazR+X5yhIyXYbWVZFGOrAFq6r4U317I2sWN/41h8bXNrJGTcwWcNukO5chP3RIJ4yc8jI9a5nxvoPge1+MWmzeI/DugQwX2lXDvquqwR7bicSxYjy42bwuTub5sYC8bq6n4Z32hPqHiOw8M2+kRaLaTxeXJo0CRxGRowXVinyuwwDkdmA7VnBfvbt9bbvsB3dx/qX+hr5m/wCCf/8AySXW/wDsNyf+k8FfTNx/qX+hr5m/4J//APJJdb/7Dcn/AKTwUVP97p+j/QR9P0UUV6YwooooAKKKKACiiigAooooAKTaKWigBNoqhcaDp11/rbKB+/MYrQooAyR4U0gHI0+Ef8Bq5a6fa2K7be3jhH+woFWqKAGqoUAAYHtS9KWigAooooAKKKKACiiigBCoNJtHpTqKVk90Am0elG0elLRRyrsBXuFGz8arLVq6+7Vavk8y/jfI3hsFFFFeSaEcih1KnkMMEV5B4d/ZL+FPhXXNO1W08MPc3mmt5limqapeahBaPuDB4YLiZ442DKCGRQVxwRXr87+XE74ztBNfPa/tDeMtP+ENj8Ub/wAGabdeETbDUb+LS9Tke/tLP+OYRvCqSFB8zLvX5VbBJGD1Uo1GmoMWh2fjv9mf4c/EjWNY1LxBoEl5c6xbx22pRx6jdQW98sassRmgjlWOV0DsEkZS6cbSNoxt698GvCniTx1p3jG+sLg+IdPtls4rq31C5gV4Fk8wRSxRyLHMm/5tsisM49KyfEv7SXw48H6othq3iaK3lEdvLPNHbzS21ok+DC1zOiGO3DgggysmQQenNUo/2mPCC/Gy9+GUr6gmt28VqUlXTbl4ZZJjJhPMWIooARTvLBDvwDlWApe2avrp+QtCTwp+y/8ADbwR4i0TXNI0CWDUtDkmk0p5tTu7hNP81JElS3jklZIo2WWTMaKF5BxlVI6L4gfCDwx8TbrTrrXba+a709ZEtrrTdWu9OmjWTHmL5ltLGxVtq5Ukg7RxxWd4T/aE8AeOPFEXh7RdfF3qdwkslqr2k8UN6sZxI1tM6LHcBT1MTNgc9Oazvix8VtZ8JeOPB3g7QLLTTrPiZLt7e+1qd4rOM26oxj+QFnkYOSqAglUc/wANL965q71DQ0dU/Z/8B6z4H8PeEn0R7PQfD7pLpcGnX1zZS2rrG0YZZoZEl3FZHDEtlt7bskmoPFX7N/w+8aeIL7WdW0Saa71AwnUI4NTu7e21DySDF9qt4pViuNuAB5qNwAOlYnjv9pjQ/g7q3hXRPHUVxaa5rRbzU0exvL63gQLMQ4dITvyYcbAN43gkbRmt7xn+0Z8PPh7r8mja94jFlfwpDJdBLO4misllbbE1zLHGyW4Y9DKy569Kq1ZbX1DQ6q18EaLp/i668TwWXla1c2EOmS3KyPg20TyPHGEzsAVpZDkDPzcnAFcjpf7N/wAPtG8SWmt2ei3EV3Z3suo2kLapdvaWdxKzNLLBatKYYWcu+fLRc7m9aveJvjx4F8I+NNN8J6pryQ+I9SW2e00+K3lmklSeR44nGxCAhdGBckKvG4jIzFpf7QPgHWvGEXhiz13fqk1zLZwM1ncJa3FxECZIYbloxDLIoVsojlhsbj5TiV7VapMNDw3Tf2PdZtfEUEoi8L6ddReIW8QyeONOjmj125Zrtp5IWAARVdG8ogOU2k4QcV7Zcfs7+BLjxRc6+umX1nfXV/Hql1DYaxe2tlc3UbK6zTWkUywSvuRWJeM7iATmquqftOfDrR/FMHh651q8bU59R/siL7No97PA95/FAJ44WiLrg7hv+Xad2MGtK8+P3gLT/G8XhK48QrFrMl6mmrut5vs32x1LJam52eSJ2A4hL7zkYXkVcp15atMNDR+J3wn8MfGLRbTSPFdjcX9ja3cd9Atvf3Fm8c6Z2SCSCRGBXccc9aT4c/CPw38KVv18PLqqi+8vzhqWt3uo/c3bdn2maTZ9852YzxnOBjV8X3XiG306L/hGrTTru/eXa51S5eCGJNrHediMWO4KNvGcnkYrjfgT8VdU+J1j4pg1vTLfTtX8Na5PoVzJYyM9rdvFHE5mhLAMEPm4wc4KsMmoSqezeug9D1KiiiuQYlPj/wBYv1plPj/1i/Wuih/Fj6oT2Ln+NOpv+NOr7o5RKWiimAUUUUAFfOX7TP8AyNGk/wDXl/7O1fRtfOX7TX/I1aSP+nL/ANnagDxytrwP/wAjp4f/AOwhb/8Ao1axa2/A/wDyOnh//sIW/wD6MWgD7UX7opaRelLQAUUUUAFJt3dRS0UAN2L6UbR6U6ip5V2ATaPSoLoYjH1qxUF1/q/xrlxSXsZ+hS3K1FFFfEHSFI3PFLSNTA8ctf2S/hZa+KovEJ8NSXmoR30upRx6hql5d2kVzI5keVLWWZoVbedwKoNpAIxgY2fHP7PfgT4kaxd6nr+j3FxcXttHZ3qW+p3VrBfQxszRx3MMMqR3CqXbAlVsZ44rim+PnjK38A6147bwjpd74X0e9vo7uG01OT7eLW1nkilmRHiCMwWIvs3jI4znr1mtftNfDbw+llJe+JB5N1YQap59tZXFzFBaTDMU9xJFGy28bDkNKUGATng13fvk7ptsnQ29a+DfhTxB4g8O63d2N0mqeH0WLT7i01G5tisYdH8uQRSKJoy0UZKShlO0ZBrG0P8AZr+H3h3xFY61Y6JcLfafdzX1gs+q3k1vYzS7vNe3geUxQ797bhGqg55BwKqap+014N0b4w2fw6uZdQOsXUULRTQ6ZdS27PKUESiVIimCJFJk3bF5DMCDWvov7QHgPxB4uh8NWWvGTVbiWaC28yyuIra6kiz5scFw8YhmdcNlY3YjaeODUfvrdbBoXviJ8H/C/wAUpNKl8Q2d1Jd6W8kljeafqV1p9zAZFCyBZraSOQKwAyu7adq5HArMu/2efh7efD/RvBP/AAjqWvhzR7mO90+Cyup7aa1uYyStwlxG6zCbLOTJv3sXcsSWOafxo+Lmp+ANc8DeHtG06xl1XxdqE9hb3+sTtBYWrR27zASOoJaR9u1Ixgsd2D8vOP8AEP8AaW074JR+DrL4g2jW2s69fyWrrodvdX1vDGFmZZg6w5bIiT92BvHmEgFUZqqEariuV+gaG740/Zq+Hnj7UpL/AFrRJ5rqa0jsbuS21S7tRfQIQUjulilUXKjHSYP39TXRWXwq8LaX45g8YWmjxWviCDRV8PRXMLuiR6esvmrAsQbywA/IIXd2zjisPx1+0Z8PPhxe29r4i8RixuJbRL9o47O4nNvbOwVZrjy42+zxljgPLsHDc8HB4k/aN+HPhHxVpPhvUvFNsmt6vaQX+n2kEUs5ureaQxxSxmNWVlLK2SD8qjccLzU/vmra2DQin/Zr+Hdx4km1uXQpWu5dSGsmH+0rr7JHfeYshuo7bzfJjmZ0BaREDPukDEiRw3hutfsV6zquqa6sD+G9OvtV8Ry+If8AhP7RLiPxBbM955wiiwQqbYwsQKuE6sYyxJPvk/7QngG28bQeE5teMOszXv8AZke+zuBatebC/wBmF15fkedgH93v3ZGMZ4rN8YftRfDXwL4ibQ9W8QXC6il4mnMtlpN7eRrdOu9bcywwugl2/N5e7cByRitIzrx0s2FkW9V/Zz8Bav4qvPEM2lXlvqN9cQXV8lhq95aWt9LCwaN7i2imWGcgjnzEbI4ORXSfEb4beHvix4Xl8O+J7OW+0mWWKdoYbua1bzI3DxsJIXRwQyg8MOlYuqfHzwFonjZfCl54gWPWjcQ2jqLaZreG4mz5MEtwqGGOV8fLG7h23LgHcuep8U3GtW2jyPoFrY3ep7lVI9QuGhhUFhuZmVWPAycAc9MjrWV6t1zadrhoYXw8+D3hr4WzXr+H11ZWvAgm/tLXL7URhd23aLmaTZ94524zxnOBXcV5Z8F/ihrPjrWPG/h/xDp9ja614S1CDT7m60qV3tLsy2sVwHjDgMuBKFKnOCOpr1Os6impe/uUFFFFYAKn+sT6ir9UI/8AWJ9RV+vp8r/hy9TCe4lFLRXuGYlLRRQAUUUUAeA/tQf8fXh//cn/AJx14bXuP7UB/wBM8PD/AGJz+sdeHUAaPhv/AJGLSv8Ar6i/9DFfb9fEHhvP/CRaXj/n6i/9DFfb9ABRRRQAUUUUAN2L6UbF9KdRU8q7AJtHpSYHHFOpPSjlXYCjL/rWptPm/wBY1Nr4fEfxZep0rYKKKK5ijifid8I/C3xg0rTtO8VWNxe2+m3yalaG1v7mylhuFjkjWRZLeRHBCyyDGcfN06VR8JfALwB4H8I6r4Y0jw1ax6Pq8ckWpR3LyXMt8sgYOJ5pWaSXIZh87HAOBgACqvxs+KOqfDX/AIQe20fS7PVL/wAUeI4dAQX1y0EUG+3uJvNJVGJx9nxjH8XXiqOifGybTfHmteD/AB3YWPhvUrHSW16C8tr0z2l1YIwSaXc6IYzG5AZWGMMpBPOOyMavs/dehOlzc8EfA7wf8PNWk1TRbC8/tSS2+xtf6jql3qFwYPlIh8y5lkby1KAqmdqktgDc2cu3/Zp+H1r4XtPDltpV9a6TZah/adlHb61fRSWE+wxg2sqziS3QIWURxMqAMw2/MaTT/wBpr4e6tput3dpq94f7HtI7+6tpdHvYrn7PIxSOaOB4RJLGWBG+NWXjrWb4H/as8B+MvhXpXjn7VfWFjfyx2i2cmm3T3LXTRCXyIoliLzkKSd0SsuFY5wpw/wB9e7uGh3vgH4ceHvhfoj6R4Z05dM0+Sdrh4xK8heVgoaRmdizO20FmJyzEsckknlPDf7Mvw28I+J7TXtM8PPFfWc891ZQz6jdT2llLMSZHt7WSVoYGOTzGi4BIGASK7DwL8QNB+JXh5Na8Oagupae0skDP5bxPFLGxWSOSNwHjdWBBRgGHcV5z8JvjF4m+LWpanqVnpehWnhXT9XvtGurd7+VtWtpLaWSMvLEI9qMxRGEROQsituOQKUVV953t3DQ6i3+A/ga31LxXeJom4eKjI2tWUl3O9jes6osjtas5hDuEUM6oGbHJNZ/hn9mn4eeE7fVYbLRLmc6npZ0O4uNT1W8vpxYFSDaxyzyu8UWD9yNlGQpxlRjK+FP7VXgj4rN4sFrdXWlJ4anuhez6raTWsCW8DYa4aWVFRFxyVZtygEsBWv4W/aX+G/jK31abTPEyt/ZemnWLmK6tLi1l+whSxuo45Y1aWHA/1kYZeQM5Iyfvo3TuGho6t8D/AAVrnw80PwPd6MT4c0IWg0qGK7ninsTahRbvDcI4mjdAoXerhiCQSQxz5z4+/ZF8MX3hs2fhbR9NR7jXLTXNVtNenuruDWZLeFo41uGaQuSWMbs3PmFCZA+9s9fof7UXww8TeG9R1/SfFUWpaPYC3Mt1b2s7q7T48pIgI8zOWYJsjDMHyhAYEDQ079oDwBqngXVPF8HiFRoOl3bWF9LNbTQzW10rKht3t3QTLKWdAIym5i64B3DNRdaLur/8ENDz/wCG37LFlY6X45sfF+naMvh/xWLQt4N0Ezx6Vp0kKsGlgyylJXLITJGsZ/dIcZGa9Y8DfDDQ/h219JpA1KSe+KG4udW1e71KZ9gIUeZcyyMAAThQcDJ9a5rQv2mvhx4i0PxVrFtr01vp3hdlj1ebUtMu7L7LI2cRFZ4kLSZGPLUFssoxllz1PgX4l+H/AIlWt5PoF5NObOb7PdW91ZzWlxbybQwWSGZEkQlWVhuUZBBGRU1HVknzphocb4k/Zd+HfizxhrHim/07WItd1ZomvrjTvEepWKzmONY0JjguEThEUcL29c16nZW0djaw20W7yoUWNN7l22gYGWJJJ46k5NeN/Hj4veMfg1o+q+LBo2gXnhHS5raJ459QljvrpZpIYtyAR7EKvK4CknftHK7q9sXPGaip7Tli5O6KHUUUVzAFT2v3T9agqe1+6frXq5d/GM57Fiilor64wCiiigAooooAK+Dl6V9418H0AFe7fsvr82vH2i/9mrwmveP2Yf8AmP8A/bH/ANmoA94ooooASvmz43f8nRfB76XH9a+k6+bPjd/ydF8Hvpcf1rzsd/DXqvzQH0mvSsTxlbzXfhPWILbzhPJZzInkKGk3FCBtBIyfTmtmsrxQl7N4b1RdNJXUWtZBbMDg+YVO3B7HOK7ZaxYHzWV02103w2+k/BvxJoOu2F3Z3E2p2OkxpMojZTKvmLIGmEihoyH4IkJOSMV9IeFdefxNosOotpmoaO0hYfY9TiEU6YYj5lDEDOMjnoa8D8NzPa6hNovh3QvE9tc32oaTdPJqNtdBYTHOJLt5JpTjBRSMKxDZwM5r6WC8VwYRbtMDx/42eIpobxdGeLShp39nS3839r2ouEuisiKIUViFyN24k5OCuB1I6/wRqtpNqWsaXpa2K6Xp624hTT0VUiZ0LMh28ZHyntwwrnvijcXHiTxJYeC4dB0fUvtlhNqJuPEETSWuIpYkMaqoyz5kVuowMdc10Pw38N6h4V0d9Ou7LQdOt433W9v4fgeGFQeWyrHqTnpVRu67a2A624/1L/Q18zf8E/8A/kkut/8AYbk/9J4K+mbj/Uv9DXzN/wAE/wD/AJJLrf8A2G5P/SeCpqf73D0f6CPp+iiivTGFFFFABRRRQAUUUUAFFFFABRRRQAUUUUAFFFFABRRRQAUUUUAFFFFABRRRQAUUUUAFFFFAEF1/q6q5q+yg9RmmiMegrx8VgHiJ86lY0jKyKXFHFX/LX+7R5a/3a4/7Kf8AN+BXtDKuVMlvIo5LKQK+Q7Gz+JPib9mdPg5pfw51TR9XvdHbQL3XPEDwR6fbQSAxTypsmMkjeWzlAF64J6YP2fsHpxRsX0rop5fKmrcyYuc+IP2hPhj4/wBc8JfEHwHpml+KtU0WPRLWw8JWuk3FvDp8kSWqrILqQsJHkEiP8r/Lgpt5Jx7NqEfiTwr8etU1Kz8L32rWWv8Ah2wsLfUbcxm2tLq3muiy3JLB1Ui4Rtyq3Ct3wD715a+lHlr6Ctvqc2rXX3C5j4f8H/D34l+JvjZ8DPFfifTfFM2oeH59VPia51ia2FjBNNYTRKbSOFgPJMnCsFyVaPd82ce+fHrT9G8QaLaaP4j+GV98SNGuizPHZ28E/wBlkXBUlZJEYE5OGT0IOM17J5Y9BRsHoKiWClKSk2tA5j5P0Xwn488C+Afhdfapo2teKbrQvEd7eyadHOlzqFrp80F5HaxyO8mJZIlmhRzvYk5OTjNSeItN8WeG4vjD4bt/h3f+KJfGN1Jc6bqsUsH2aZbi1jgEd07ENGIShH3X+RVxk/LX1X5Y9KXyx6U/qc921/TuHMfPnwx+F+r+DfjdNfXlvJd6bb+AtG0NNWkIPn3EFxdmVc5znDxse3zVweleG/iJ4k8eeEb3xLp/iu41PTfFE1xdvJNBFo1tZqLhIWhjR/3hKPGNxBbJJbHSvr/y19KPLX0FCwdS/M5L7g5j4J8HyWliul+L9dj8VXfw/X4g3ep6WLNNPOnm9udQuLeC4JBF2Yt9xnaRwxJOVwK6Hwv8CpdPt9Y8E+MPDnjrW7e58VXGorfaXq+NOvopdRN5BdSgSJ5bxkxl1wTuiyN2QK+kLL9nX4Xad43k8X2vw98NweJ3lNwdVj0yIT+cWLNKG28SEsSXHzHPJr0Xy19K1lhZfZkLmPNPjJaabqngi40zWfBd5480e+ljiu9Js44pGKhgwdkkdNyqyqcAk9OK4X9lnwHqvgW38ZRrodx4R8F3eqLN4c8M3jq8tjD5SiZvlZgiyS7mEefl5P8AFivoXYPSjy19K5Fl0uRx5tyufUofjR+NX/LX0o8tfSsv7Kf8w/aFHNOiP7xfrVzy19KPLHpWlPLXCalzbC5xf8adRRXvmQUUUUAFFFFABXzl+01/yNGk/wDXmf8A0Nq+ja4/xh8MtE8cX0FzqiTtLDH5aeVJsGMk/wAzQB8f1teB/wDkdNA/7CFv/wCjFr6J/wCGefCH/PK8/wDAg/4VY034F+FtJ1C1vbeK6E1tKs0e6ckblIIyMeooA9EX7opaRelLQAUUUUAFFFFABRRRQA30NQ3X+r/Gp1pGUN1FY1oe0puHcaKGfejPvV/y19KPLX0rwv7Jf8/4GvtChxRxV/y19KPLX0o/sp/zfgHtD44ih+Il18H/ABt8L9J+HWqwavrV3rNpHruqvbxaXHBd3Ux84sJjKw8qUsAqE5AyKZ8SPhj4w0fw5qHw90mz8X6p4T03wla6N4ct9Dnt4IZpUt2hcXcpZWPCx/KflxnAJOK+yfLHpR5Y9K7FhJp7onmPBHt9f8L/ABO8FX48Malq1hN4eXR7m6s/LK2M5miO6YM4IQDcSyg8IeM4B8v0/wAF/EPxX8S/hlq3iHTvFc2paH4kubvV5r+eBNKghNvdRRm2jjYbgTImG279p+fBOK+y/LX0o8tfSksHPXVfcHMeR/HCOw1Tw7Do2ufDi8+I3h+/ZlurWzit5vs7KAUZo5ZEJzlgGTlSOcZzXhWh/Dn4jeEfhv4Gvr/RtY8QLofxGn1600KS8W61Ow0OSG7ggheSSQiSWMXCMwEjcEjJxivtHyx6UeWv90UqeDnTjyqSDmPlryvFnw1+I3xZ1CP4aX3jC38bvZ3+m3FlJByyWMNsbO9MjDykR0LBgHG2Rz1G04XwP+Afin4a/tBeC7zVLWTUNH0X4S2/h2bWZGV0OoLf+Y0IJO7hCcHGNv5V9g7F9OaXYvpzR9TqWa5lqHMj498XeGPiR4u8UXS6xpnii6ubXxpa3Filpcww6LFpMOoxPDKUD7pZPJG5sgsGBOAAK8zt5NO8MW3izx74ntvEz/DSw+J91rzLo32D7A95HqQghuW3sLwqsyoXRcgyI20FCFr9DvLX0rzpv2c/hY3jT/hLz8O/DJ8T+f8Aa/7V/suHz/tG/wAzz923/W7/AJvM+9nnNaxwkkrXFzHzdN8CTeSeOfBnjXwj421zR9e8RXGoJPoOsBNOv4J7kSo8y+bH5UkRChgQeI1Ks2do+lvipb2V54E1Ky1Lwrc+M9MuVWC50WzSN3njLDPyu6AgdcZzxxmu/wDLX+6KXy19KxngZTablsPmR85/syfD+78D6140fSvC914D8AXktu2k+Gr0oJIrhVYXM6oruI0k/d4XPJVmwN1e/cVe8tfSjyx6VjUy2VSXM5DUyjx60nFX/LWjy1rP+yn/ADj9oUo/vr9avYo8tfSlr1MLhnh4uLd7mcpcwtFFFegSFFFFABRRRQB8+/tPt/xMtAHpFMf1WvEa+w/GXw20bx1Nby6oszNbqyx+VLsGDjOePauf/wCGefCX/PO8/wDAg/4UAfNnhw/8VDpf/X1F/wChivuCvNrX4CeFLO6huIo7vzYXWRczkjIOR2r0haAFooooAKKKKACiiigAooooAoy/6w0zNXmjB5IzR5a+g/KvAqZY6k3Pm3Neco8etHFXvLWjy1rL+yX/ADj9ofP/AO1Lo+vXn/CrNW0Lw9qHiY+H/Gltq17Z6YIzOLdbO8jZwHZQcNKg6/xVz174e+IHjbxt4l+KGneHLnwrrFh4MutC8M6Xqs0ElxPdSyec0k8aMyKoeGAKN/OX3AcV9QeWPSl8segrpjgZxikpInmPmf4P+F/ER+J667qNh4t+zt4fltJ73xTcRMXumlhcpFEjHy1GG6AA446VheFbbx/pHwB+G3h0eHvFGgzaJNBpHiGHSjb/AGyW3itXBkt2Ln92ZvK+dSHwGwK+tPLHpS+WPStHg5t6tBzHhv7MvhLV/CPhTxLDrGnajp0l94ivNQgi1a4W4umhl2FGkdWYFjznk4IIrzTxd4P8QeO/i94O8QeFPh1rXw+8W2evWs3iLxBNcwQWl9pcRbz4HaGR/tRkU7Y9yZGckpivrzy1/uil8sf3RWawM4ycuZahzHxl4k+FvjXxN8Lfjh4Aj8I79R1TxNceINKuNSkQabqkBu7e5WEupLKzhHQqygAjkgc1b+K/g/xf8fvE1v4htPCGteFLbw/4O8Q2Cwao0KTand39rHFFbBEkb5EKMxYnbu249a+wvLX0oMa+laLCTTumri5j5Yj8N/EbwF+yZ8I/D/hTS59P1uxs9EsfEtvYrF9utbRYFF6bYMfLNwHGMnPVyPmwa8V8WfDbxRp+o69PJofiGOTXviR4bvtBl1a7gl1Vzb2Cl54mdnh3oYX+Wb5dispAbGP0R8sf3a5/xp4A8NfEbRW0fxT4e03xJpRcSfY9UtEuIg4BAcK4IDDJww5GTiqjhZpu7Wocx8d6hodz400Lxt4S0+x8Saz4+8PeKdH8V+I7XU7m0gvLtHjURm0e1fyUcRWw2IWU5jG4jcGPufwP8F6ZpHiLxT4ittB8V6Xqmqx2lvd3viq786W6WESGMIPMcgJ5rjJAzkYzivSfAfwv8I/C3STpfhHw1pnhrT2fzHt9LtUgWR9oXe+0De2FUbmyeBzXUeWvpUVMFKacVLQfMfJn7T3w5tfiJqWqHTPhRq2ofEi2to4fDnjaBoIorO4GZLefz/ODIkUrZZSmThgAwPP0pocN7b6LYRalKk+opbxrczR/deUKA7DgcFsnpW/5a+lHlr6VlLLpSgoc2w+co/lScVf8tf7o/Kjy19BWP9kv+YftCjkVYtfun61KYx6U5VCjgYrrwuAeHnzuVyZSuh1FFFewZhRRRQAUUUUAFfB9fdzfd9K80/4Z58I/88rwf9vB/wAKAPlyveP2YPu6/wDWH/2aur/4Z58Jf887z/wIP+FdL4M+H2k+BftQ0tZl+0lTJ5sm7pnGPzNAHUUUUUAJXzZ8bv8Ak6L4PfS4/rX0nXzZ8bv+Tovg99Lj+tedjv4a9V+aA+ka4n4leGbvUtJvdSsdU1i1vLSzkaG0026MSzOAWUEAckniu4XpWR4q1C40nwzqt7aRrLdW9rLNFGxwGdUJAJ+orrmlKDuB896f4u0uR/CR0H4k6z4g19tRtI7rR5Znk+0IZUS4DxqFMexWZ8k4+QggjNfTa/dFeU+DdeTVbbRrmb4jaffXNwIna3t4raMTM2CUVeWGemM55r1Vegrlwq91u/8AX3geTfFq+tr3xNpWh2vhFvF/iJbWTUYIZr77FDBCrrEz+Yc/NmXAAUnBOSB13vhXZanZ6ferqXhOHwm5lBSGHVTfiUY+9u2rtx0xXP8AxdWyuvE2hwW8PiG/8TrbzSWtp4euktnWDKiR5ZXKhUJ2Lgty23AJXI3PhVdJJa6jbO3iCLULeZVuLPxDcLNNCSuVKMpZSjDkFSeh6dKUbe3dwO7uP9S/0NfM3/BP/wD5JLrf/Ybk/wDSeCvpm4/1L/Q18zf8E/8A/kkut/8AYbk/9J4Kmp/vcPR/oI+n6KKK9MY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CV82fG7/k6L4PfS4/rX0nXzZ8bv+Tovg99Lj+tedjv4a9V+aA+kax9bg1S6ngjtDZHT3imS6juo2ZnJX93twcYzncCDkHitpelcx8QdZ1bQ/C99c6Jpk+p6iInEUduU3I2xiHw33sED5RknPSuybSi2wOW0r4cX9jqVlO+j+DY1hmSQyW2lskqgMDlGzw3HB7HFeodFrzNfEnjfWbPTYLbwzcaTctPatcXl5cQMghEqGcFASctGJFAABBPUV6XyVrChy2fJf5geb32kv431xfFHhjU5NI1bS2udHea7tBLb3kYcb0ZCQ2FlTIZSpyrDkGrnw7tpYNZ8ULqOpz6nriXMKXTPai3hRPKVo1hUE5j+ZuSxOdwPSs+20Txx4L1DUotGTSde0S6upbu3hvrmS2uLZpXLyKWCOrpuYkcAjNbXgHw3rekyapqfiS9tbrWtTlRnisFZba3jRdqRpu+Y92JPdjgACs4q9RNp369vkB11x/qX+hr5m/4J/wD/ACSXW/8AsNyf+k8FfTNx/qX+hr5m/wCCf/8AySXW/wDsNyf+k8FRU/3un6P9BH0/RRRXpjCiiigAooooAKKKKACiiigAooooAKKKKACiiigAooooAKKKKACiiigAooooAKKKKACiiigAooooAKKKKACiiigAooooAKKKKACiiigAooooAKKKKACiiigAooooAKKKKACiiigAooooAKKKKACiiigAooooAKKKKACiiigAooooAKKKKACiiigAooooAKKKKACiiigBvWsrxF4k03wnp5vtVu47K1DBDJIeMnoK1q8b/ar/AOSWv/1+Q/zNbUKaq1IwezZz4io6VKU1ukdXY/GnwTqFzHbweJLJpZDhVZyoJ+pAFdVqWsWejafLf3tzFa2cS7nmlYBVH1rxq4+FXhjWPgfaXbaPaW9+NGju/tltCscxlEAbczAAtk5znOc1wNjp/iH4l/s3x2tl5l9PpeonEKuxkmgRSdgyfmI8wEL6LgcgCu5YWjUtKMmknZ38zznjK1P3ZRTbV1Y9/wBB+LfhLxNqSWGm63b3N4+dkS5BbAycZHPAzVVvjr4DUkHxJZ8f73+Fec/CTxx4K13VdK0u88O2/h7xRYjZDugEW9thVgrAA5IZjtb14zVD9qTwfoXh7wbplxpmjafp9xJqCo8trbJGzL5chwSoGRkA49qtYWn7dUZpq/oJ4qt7D2sGnbfc9dh+MXg64sbm9i163e1tiizSDdhC2dueO+D+VdBfeI9N03Q21e5vIotMWMTG6Zvk2HGDn3yPzrgfiR8N9G/4Vb4itdJ0ezsJprYTN9jgSEyNEfMXcQBnBB6+p9a8n1zxlJr37OnhjRoWSW/vrqPS2gjBLFYn4AH944h+u73rOnhqdZJwb+Kzv27lVMZUo3VRK9rq3fsfS+g+IdP8TaZHqGmXKXdlJu2TR5wcEg/qDUPhnxbpPi+0mudHvo7+CGQxPJFnAYAHHPsRXz18LfFk3gD4d/EXSJnkS60KWRrZnO4hpAY1AXsA6gn/AHzXqP7PPh/+wvhZpO5dst2rXT/Lg/Mcj68YqcRhVQU5X2aS8+pph8XKtKMbbpt+Wp0/iX4ieHfB1xFBrWqwafNKm9ElzllzjPA9ad4Z+IHh3xfJImjatb6hLEMukTfMB64POK8J/aPurWw+K/g65vrRr+zijV5bVYxIZUEvKhTw2R2NVvh9faJrXx+t7/SLP/hELKOzKx6bNH5D3jlWBxGvyL1zgHnZnqTjdYGDoKprdpvy32MJY6arunpZNLzPqINmjcOleSeKNT+IK6xfi11Xw9oljHk2cN4d00wBwC3OFB55GenSsWx+OWq3PwOvvFf2SF9XtZhbFVQ+VuLqA+M9MN61xxwlSUVKLTu0vvOx4yCk4tNWTf3HumQaXPtXmXw81zxFqBF/qHiHRdc0drUyu2nxlZIZcj5eCcrgPycHIHFcJp/xb8X+NbHXtb0XU9F0uysZWS0sbpMy3G1QxySwxlSMcdeOOtOOEqSlJXVl6kyx1OMVJp69D6J3Vzninx/4f8GiMazqtvYNMCUSRvmYDuAOce9UfhT43b4h+CLDWpYhBNLuSRF6blYqSPY4rxv46aPqOgfFbS/F9xobeINAghVXhK+ZGpAZSGGDtPzBgSMZA9KdDDqdZ0puzV/m10HXxLhRVWmrp2+59T3fwt420Xxpbyz6LqEOoRQsFkMZOVJGQCDW7u2jpXiOm+NtEvPh74i134cWVnp+qwRrPdWcluIz8mSSyLwTt3EFc5PGcjATxF8crq2+Cul+JrD7O2r3rpbBGQlfOyRIAvf7polhJylaKtrbXdepMcZCMbyd9L6bP0PcN1V7u8gsbd57mZIIE+9JKwVRk45Jrw7xR8VPE9j400Dwo91p+g3E9lHLeaneQ74jMUJIjywGNw2jnqar/Gs+MZPg3O+o3mkXVt5o+2TWgf8AexedH5DRjGAd33ucY6E044OXPCMpJcwSx0OWUoxb5T3uG4iuIlljdXjYZV1OQR6g1LuFeCeE/G3iH4d/Bca3rjafdWa2Vsuj29vuDncpAWUkcnG0nHo1UdQ+LPjHwv4d0vxPf6lo2qWd08ZudKtkCywRuMjDBiSce3Bp/UqkpNRaavZebJ+v00k5J3td+SPon8aNwrxf4n/FDxNoHxC0HQfD1vaXf9p2u5I5x/y0JcK24HhRgE+wNc/D8SPijp/jWbwbc2mk32szxiW3uowywRoRkyHOCVHIxjOQcZpQwNScVK6Wl9X06lSx9OLas3Z20XU+ic0ccV458IfiN4m1jxjrvhfxTHaNf6cnmCa0BVT8wGOeoO4EHj6V7GO1clWk6MuWR2Ua0a0eaI6iiiszYKKKKACiiigAooooAKKKKACiiigAooooAKKKKACiiigAooooAKKKKACiiigAooooAKKKKACiiigAooooAKKKKACiiigAooooAKKKKAEr5s+N3/J0Xwe+lx/WvpOvmz43f8nRfB76XH9a87Hfw16r80B9Jr0rF8YSXcXhTWHsJGhvVs5jBIiFyrhDtIA6nOK2l6VkeLLy70/w1qtzYIHvYbWWSBSM5cISvHfmu2XwsDwrwTqHg+61LQnMnxGTVJJ4D5d9/aghExZeJM/u9m7rn5cZ7V9F/wAPy18/3mteJfDviLSIX8Y6xq0l0+lywWTafbiO8Sa48u5XesI2hEw5+YEDqea+gV6VyYbZoDyTxJ4k8XeD4Ypdc8Z+C9JjmJERutPnTfjGdubnnGR09RXRfDPxZL4ssbyaTxDofiIxShRLocLxxx5GcNukfJ79RWN8UPDujtq0+raxr9losV1olxpCNfOq7XeSN1kTcQOCDuHf5emOXfBe6m1Jdc1G51Lw9fXFxNErx+HLgzQLsjCh3YgfvGGB06IvJ7RDmjW5b6eoHpdx/qX+hr5m/wCCf/8AySXW/wDsNyf+k8FfTNx/qX+hr5m/4J//APJJdb/7Dcn/AKTwUqn+9w9H+gj6fooor0xhRRRQAUUUUAFFFFABRRRQAUUUUAFFFFABRRRQAUUUUAFFFFABRRRQAUUUUAFFFFABRRRQAUUUUAFFFFABRRRQAUUUUAFFFFABRRRQAUUUUAFFFFABRRRQAUUUUAFFFFABRRRQAUUUUAFFFFABRRRQAUUUUAFFFFABRRRQAUUUUAFFFFABRRRQAUUUUAFFFFABRRRQA2vL/wBobwzqfi74eyWOkWj3t59oikEUZAO0E5PJFeon0pMDFaUajozU1uncyrU1Wg4PqfPEV58UNW8CweE7XwcmmRizj099RuLxeECBGbb15APTPXvXT6T4X8RfBnwDpll4b06HxJcpM8uoxl/Kd9wJzHk44wo7kgdOePX+1L+prpli3JcqilG92tdfU444NRfM5Nu1k+3ofOjaF4k+L3xH8Oa5P4Ym8LafpEyzS3F6Ns05V1YLtwD1XAOMYY89q6j9pTwfrPjHwdptnotjJqFzHfrI0cZUEL5bjPJGBkj869i246UA0PFy54zSSUdkOODioSg225bsrSW63FkYZVDI6bHRuQQRgg18xfD/AODvijT/AIl2NnqVhIPDGlajNfRXGVVXfA8txg55KR8egOa+pzSbetRRxMqMZxivi/rQuthYVpQlL7J8u/Fr4SeK7/4hasdA08yaXrghMs6sAkbAru35OfvLu6Hg8dK+ldJ06HR9MtbK2TZBbRLDGuc4VQAB+QFXdvtmlx3orYmdaEIS+z+PqFHCwoTlUjvI8G+NvhfxHdfErwpr2j6LNq1vpqrJIsTKuWWTdt5PGRUU3hPxh8UfiJ4e1vWNCTwvp+jSrMpkmWWWfDq4X5TxyoHPTJ69K99wG7Uc+tbRxsowjBRV0mr+TMZYGMpuTk7Np280fMjeD9c0v4jeI5tc8Ey+NJdRf/iW3UxU20KAsfmJyqdUHOCNpx1NdJ8MfDviDwH8JtRtr7wu2qXRvWMmlu6ZlhO0MR1B4ycd8V7xtpoU0TxspR5XFdO/T8vkKOBjGTlzPr+J87fDDwLqV78RLjXdO8O3Xgvw9LZyQTWN2SGmkbcPlQ8qoJU9APlGOtYfhnwXd/DOS90jW/hr/wAJgJbovaalBAk2UIAwxIOwcZ5xyxr6lo28dMVX1+bbutGl1fTz3F/Z8ElZ6q/4+RzngKzay8L2qNocPh1mLMdNt9u2LLH+7xk9Tj1rlvG3jzxZ4V1yaKLwbNr+iyKPJuLElpAxGCrpgnGc84AxXp36U09MVxRqJTcpK9/U7JUm4KEXax4n8DPh5rGjav4m1/WdOj0hdXcmLTVYMY1LM2OOAPmwB7dq8y8FeC7v/hdUfhGRi2kaPqEuqrGpyvRNhOCcfdj4PuO5r65I+UiuK8HfC3S/BfiHWNat7i6vNQ1Rt00t06ttyxYhcKMAnHXPQV6NPHP95Ke7Vl+X5Hn1MArU4w2Tu3+JyXxjkmvriWx1D4e3HiewZFSzvrJg0qOQd2cDdHg456VhaP8AC3xMP2edX8O3cWNWuJBPb2byhiirJG4jznAJ2NxnHIz3r39h+VG32rmji5QgopbNP7jplhIym5N7pr7z58s/C/iD4kfBlvC93oU2iXulRwR2sl4douZI9ytxjIGO/TLelZ+h2c0Nhb6NN8ForrWreFY5LqeCJbeRgACxlK4OepwSa+k8dulLtHXvV/XHZq2jd93v95H1GN4yvqlbZbHjfjbwjq+pfHLwdq9rYSSaZZwbZ7hcbYzl+Dz7ir954X1ST9oay1xbORtJTSTA11kbBJub5euc8j869WA6UYFZfWp2StsmvvNPqcLt33af3HkPhHwrq2n/AB48V6zPZSR6ZdWyLDcHG1z8nA5/2T+Veu0Yp341jVquq030SX3HRRoqimk73bf3i0UUVkbhRRRQAUUUUAFFFFABRRRQAUUUUAFFFFABRRRQAUUUUAFFFFABRRRQAUUUUAFFFFABRRRQAUUUUAFFFFABRRRQAUUUUAFFFFABRRRQAlfNnxu/5Oi+D30uP619J182fG7/AJOi+D30uP6152O/hr1X5oD6RrhviZpusrpN7rGleJtS0j7DZSS/YrOC1kWZlBbJM0TkE8DggV3a9KzPEmoTaX4f1K9tbc3lzbW0ksduOsjKpIX8SMV1zipQaYHhC+Mr/T7bwdqFt8XY/ElxfalZW8+kxJp4N2ssyRyLHsi3rs35bvhSMqSCPopeleS+CPC+u3DaXr6XngyNrkJcStpfh5w7I2C6pP8Aac5IJG4r77T0r1oZrmwqdmwPK/HGi3M3xS0bVdOttN1fUItJuLeTTNQvVjPktLG3nRpsY5DKFLYwQ+OoGez8JpqC28/27RrLRn3/ACpZTiVXGOpOxcH864X4vSaNpPiLRtXu9e1rR9WhhkjiXQbWOaVoC6CRpd0LkRBjHnJC5wetdp4TiazuNQsZte1DXLmFo2dtQjhUxqy5Xb5UaAg4PXPIpU/48v8Agf8ADgdFcf6l/oa+Zv8Agn//AMkl1v8A7Dcn/pPBX0zcf6l/oa+Zv+Cf/wDySXW/+w3J/wCk8FRU/wB7h6P9BH0/RRRXpjCiikZgvJOKAE206mLIr8qwI9qdkUCvcWiiigYUm6jdUbTxq2Cyg+5oE2luS0UmQaWgYUUUUAFFFFABRRRQAUUUUAFFFFABRRRQAUUUUAFFFFABRRRQAUUUUAFFFFABRRRQAUUUUAFFFFABRRRQAUUUUAFFFFABRRRQAUUUUAFFFFABRRRQAUUUUAFFFFABRRRQAUUUUAFFFFABRRRQAUUUUAFFFFABRRRQAUUUUAFFFFABRRRQAUUUUAFJS0UAMLAdaXrXAfGjxJN4d8HhbW4e0vdRu4dPgmjOGRpGwzA9iEDke4rcg8T20GuT6EfPe5s7KO7kkYAqyMWUc5yWyh/MVp7KXIpf1oYOtFTcH5fidJSGvOr741aRZ6foV0mn6peNrVvJcWdtaWwlmcJtypUN97D59ODz67/hHx1ZeNNGuL+xhuYzbyPDNa3EYWeOReqMuThunHvQ6U0uZrQI1qcnyp6nT0V5L4N+OK61H4im1bSb7SbTSZLhjdS2xWJY42AEbnP+u5+4PQ1u+F/i1YeJ9ai0p9M1bR7ueEz266paiEToMZKHcc4yDVSoVI3utiY4inK1nud2fpQSK8r+J/xIl0PxVpfhu21W30OS6tpLq41C4jEnlxjIQIDwWJDdQfu9DVLVfHupXl34S8PaFr1ndXusCeSXWY4VcLFGpIKpnbuOCOeAVPHNWsNNxUuj1+X9IzliqcZOPVHsW4NSZrz34U+M9Q8UWuvWOqyQyano9/LYvPBGUWUKSFfaScE4PGa56x+L19Y+AvGV3qxgGuaBczWu2NchmJxAxUH7pY44PRSan2E+ZxW6t+JX1mHKpPZ3/A9jzRu614NcfEjxQnijTNC1bVbXwvJLp8Nyt5dWeUuLhgCYjuYBQCSuODlOuTitn4oeKvF3gmz0q9tdU02aC/vILERtZsdrOhLOG38jKkgeh61p9VlzJXWu25n9bhyyaT0PX9wpc4rzWLxVrXh34gaLoetXlnc2+oafPIskUBjLTxuWwMsePLPT/ZJrjfDnx21O60Hxxd6msEU2m263mm7UP7yKTcIiwzyMmPP+9RHC1JLmWq0/F2B4ynFpS0ev5XPe93SjNebaP8UpYZdO0a+0vUtS177Jbz3/ANgtlMds0uOGy46E84zwCexq3oOuXFv8VvEehXF680UtrBqNrC5J8pSDHIq+25Q31esvYyV79NTVYiErW6u3od/T6b/DTqxOoKKKKACiiigAooooAKKKKACiiigAooooAKKKKACiiigAooooAKKKKACiiigAooooAKKKKACiiigAooooAKKKKACiiigAooooAKKKKACiiigAooooAKKKKAEr5s+N3/J0Xwe+lx/WvpOvmz43f8nRfB76XH9a87Hfw16r80B9Jr0qhrFs15pV5AIIboyxPH5M5xHJkEbWODgHoeDV7sa4L4leLtc8N2sq2PhC81/TjbPJc3lrqcFn5AAORl3VgcDOV6Z65rrnJRi2wPMm8BjwLq2h6nffDTwTaWn9qWsJvrC6meS0Z5VWOQKbcc72UDH8TDOBlh9FjNfM+kybtS8K6lrHw38URWM2o2ptbzWvFb3UNrK7ARyvDJOwBBPAZc7ioHzFRX0x6VyYS1pWEeQ/FDRU8T+LI9P0fX7fSfE8+kzJLb3lq00FxZiROpBGxlkZSCGzhjlT26T4f200Ora6dR1q31bXGMH2n7HbmGG3j2ny41BZif4iSTnntXA/GXw74T8IeLIPG+t+FrHWbCS2e0vlHkmbezoVmELgecw2BOG3ANwG5x13wVubHVPD8+p6T4Y0/wAMaNfSLNZw2Ri82ZMcSTCP5VYjHy5JAOCc8VMP47T3+Yz0W4/1L/Q18zf8E/8A/kkut/8AYbk/9J4K+mbj/Uv9DXzN/wAE/wD/AJJLrf8A2G5P/SeCip/vdP0f6CPp+iikyK9MY1m2jOeKwb69a6kYBsRjoPWr+rXBjhCKcFzisauujD7TPncyxLT9lH5j4Zmt3BViOenrXQWtwtxGHXvXOVe0m4McpjJ4bkfWrrQuro5svxLhU9nJ6M3aKTIpkjBFLHgAZNcJ9WUtSvvs67V++3T/ABrEclmyxyfepLiU3EzSHv0+lMr0adNRR8VjMTKvUdnoti7p980Mgjc5Q8D2rbUhveuXrb0y6M1uAfvL1rGtBL3kerluKcv3U36GhRSL0pa5D6AKKKKACiiigAooooAKKKKACiiigAooooAKKKKACiiigAooooAKKKKACiiigAooooAKKKKACiiigAooooAKKKKACiiigAooooAKKKKACiiigAooooAKKKKACiiigAooooAKKKKACiiigAooooAKKKKACiiigAooooAKKKKACiiigAooooAKKKKAPMP2gNJ+2eCbfUPm26PqFvqTqvdEYh/yV2P4UniDw94mm8YSa34f/s6W11HTEsn+2s4MRVnZXAUfMPn6ZH1r01lDDkZFCqAMCuiNeUYqKW1/xt/kck8PGcnJve34Hgd3oOueFdY+GOmWgtJdWsdPvI2jmc+U+Fhyu4DIz64/CvRPhb4Q1Dwppuqy6q8Lahql/LqE0dvkxxF8AICeTgAcmu3ZFZlJGSOlO4JqqmJlUjytev33Jp4aNOXNf0+48YuPhPreoaX420C4ktU0rWbyTUba8ikbzVlaVZFRkxjaCvJz9K09E8F+ItX8YaFrXiKCxsV0O2khto7KdpTNI67WdsqMDA+7z1616p9etHWl9Yna39bWBYWCaf8AW9zzTx14G1S58baT4r0W3s729tbWSzls72Uxo6EkqysFOCCzdu4rmbH4N654bj8N6vp8mn3mvaZPdTT27gwwyrP1RWAO0KCccHrXuJwtJTjiqkYqC2X5a/5hLCU5ScnuzhfhX4IvPCFhqlxqj276tq19Jf3X2UHy42c52KTyQMnk+tct4u+D1/rnxMg1S3miXw/eSW9xqlvI2WklgJ2YXGCpG0HP+1617LR+lRGvOMnNbsqWGpygoPZHmPxJ8OeJvFMd9pNvpui3el3UYjhurx3EtsSMMxXB3HPIwV7ZzUHjL4Xahq3gjwfodjcxzyaPeWck085Kb44o2VmA55ORxXqh+lHOaFWlFK3QPq0G231PNPjN4D1rxdp+lz+HrmO01ixmfZJI20COSMo/ODzg/qa5jxR8C7/UdW8LCxnhi0y3s4LDVYCxUSwxSLIAoA53HcOT2Fe5/rSfjVwxNSEVFdL/AIkzwlOpJyl1t+B5R8Qvh/qniXxPa3OnWNjYywvE0euR3Tx3ESqwLI0YXEgwCBk4GaseHbFNS+N/iLVl8zGm6dBpm/I2s7HzW/IFP1r0/aKRUVTwMUvby5eXysP6vHm5l3uL96nUUVzHYFFFFABRRRQAUUUUAFFFFABRRRQAUUUUAFFFFABRRRQAUUUUAFFFFABRRRQAUUUUAFFFFABRRRQAUUUUAFFFFABRRRQAUUUUAFFFFABRRRQAUUUUAFFFFACV82fG7/k6L4PfS4/rX0nXzZ8bv+Tovg99Lj+tedjv4a9V+aA+kazfFENhN4d1OPUzt05raQXJ9I9p3fpmtRelcp8QvEmhaHobW2vXLRW+p7rKOGGNpJZmZGJVEUFidoJ4HGK7JtKLbA8g0GE6ktm+teJ/Fl34d0y+0wwaPqlja28jNJMi2jzSIBI6CQISGwcqCwODX0V6V806Ra2OoeMtNjufiNP4tsL6WxnTR9N0gGXbDLvtWuZUJ2IpwWyqZIGfSvpb+GuTC7MDyD4q+IH0rxdavpuk6Tda5Y6Y+ofbNW3MYrcTIjJCinO5ixy2QBhM5yBXX+E47C18TeIray0+3s3/ANHnme2481nQ8svQMNvXuCKu+LvAui+NreGHWLFboRbvKkDFJI9ww211IYZHUA84HpVnw34U0vwpbzxaXaLbCd/NmfcXeV8AbmZiSxwByTWipzVXm6Aatx/qX/3TXzN/wT//AOSS63/2G5P/AEngr6ZuD+5f/dNfM3/BP/8A5JLrn/Ybk/8ASeCsKv8AvVP0f6C6n08BSe1FMmkEcZJ6AZr0wbsrmDqM3nXTf3V+UVXoZtzFu5pK9WK5UkfA1qjq1HJ9RadG5SRXHVTmm0VTVzOMnFpo6aKQSRqwPBGap6tN5dvtHV+KXSZhJagd14qhqkm+429lFefCH7yx9biMR/svOuqKdFFFeifIBVvS7jybnaT8rcfjVSlVjGwYdjms5x5otHRh6jp1IzXQ6lelLUULhoww5BGakWvLPvE7q4tFFFAwooooAKKKKACiikagBab+FJnFRG8h/wCeyf8AfQrKdSFP43YaTexPu9qN3tUH2uH/AJ6p/wB9Cj7ZD/z1T/voVn9Yo/zr7yuWXYn3e1G72qD7ZD/z1T/voUfbIf8Anqn/AH0KPrFH+dfeHLLsT7vajd7VB9sh/wCeqf8AfQo+2Q/89U/76FH1ij/OvvDll2J93tRu9qg+2Q/89U/76FH2yH/nqn/fQo+sUf5194csuxPu9qN3tUH2yH/nqn/fQo+2Q/8APVP++hR9Yo/zr7w5Zdifd7UbvaoPtkP/AD1T/voUfbIf+eqf99Cj6xR/nX3hyy7E+72o3e1QfbIf+eqf99Cj7ZD/AM9U/wC+hR9Yo/zr7w5Zdifd7UbvaoPtkP8Az1T/AL6FH2yH/nqn/fQo+sUf5194csuxPu9qN3tUH2yH/nqn/fQo+2Q/89U/76FH1ij/ADr7w5Zdifd7UbvaoPtkP/PVP++hR9sh/wCeqf8AfQo+sUf5194csuxPu9qN3tUH2yD/AJ7J/wB9Cj7ZB/z1T/voUfWKP86+8OWXYn3e1G72qD7ZD/z1T/voUfbIf+eqf99Cj6xR/nX3hyy7E+72o3e1QfbIf+eqf99Cj7ZD/wA9U/76FH1ij/OvvDll2J93tRu9qg+2Q/8APVP++hR9sh/56p/30KPrFH+dfeHLLsT7vajd7VB9sg/57J/30KT7Zb/89k/76FH1ij/OvvDkl2LG72o3e1V/tkH/AD2T/voUfbIP+eyf99Cj6xR/nX3hyS7Fjd7UbvaoPtkP/PVP++hR9sh/56p/30KPrFH+dfeHLLsT7vajd7VB9sh/56p/30KPtkP/AD1T/voUfWKP86+8OWXYn3e1G72qD7ZD/wA9U/76FH2yH/nqn/fQo+sUf5194csuxPu9qN3tUH2yH/nqn/fQo+2Q/wDPVP8AvoUfWKP86+8OWXYn3e1G72qD7ZD/AM9U/wC+hR9sh/56p/30KPrFH+dfeHLLsT7vajd7VB9sh/56p/30KPtkP/PVP++hR9Yo/wA6+8OWXYn3e1G72qD7ZD/z1T/voUfbIf8Anqn/AH0KPrFH+dfeHLLsT7vajd7VB9sh/wCeqf8AfQo+2Q/89U/76FH1ij/OvvDll2J93tRu9qg+2Q/89U/76FH2yH/nqn/fQo+sUf5194csuxPu9qN3tUH2yH/nqn/fQo+2Q/8APVP++hR9Yo/zr7w5Zdifd7UbvaoPtkH/AD2T/voUfbIP+eyf99Cj6xR/nX3hyy7E+72o3e1QfbIf+eqf99Cj7ZD/AM9U/wC+hR9Yo/zr7w5Zdifd7UbvaoPtkP8Az1T/AL6FH2yH/nqn/fQo+sUf5194csuxNu9qN3tUP2yH/nqn/fQo+2Qf89U/76FH1ij/ADr7xcsuxPu9qTPtUH2y3/57J/30KPtlv/z2T/voUfWaP86+8fJLsWOfSjn0qv8AbLf/AJ7J/wB9Cl+2Qf8APZP++hR9Yo/zr7xcsuxNn2oz7VD9rg/56p/30KPtkP8Az1T/AL6FH1ij/OvvHyy7E+72o3e1QfbIf+eqf99Cj7ZD/wA9U/76FH1ij/OvvDll2J93tRu9qg+2Q/8APVP++hR9sh/56p/30KPrFH+dfeHLLsT7vajd7VB9sh/56p/30KPtkP8Az1T/AL6FH1ij/OvvDll2J93tRu9qg+2Q/wDPVP8AvoUfbIf+eqf99Cj6xR/nX3hyy7E+72o3e1QfbIf+eqf99Cj7ZD/z1T/voUfWKP8AOvvDll2J93tRu9qg+2Q/89U/76FH2yH/AJ6p/wB9Cj6xR/nX3hyy7E+72o3e1QfbIf8Anqn/AH0KPtkP/PVP++hR9Yo/zr7w5Zdifd7UbvaoPtkP/PVP++hR9sh/56p/30KPrFH+dfeHLLsT7vajd7VB9sh/56p/30KPtkP/AD1T/voUfWKP86+8OWXYn3e1G72qD7ZB/wA9k/76FH2yD/nsn/fQo+sUf5194csuxPu9qN3tUH2yH/nqn/fQo+2Q/wDPVP8AvoUfWKP86+8OWXYn3e1G72qD7ZD/AM9U/wC+hR9sh/56p/30KPrFH+dfeHLLsT7vajd7VB9sh/56p/30KPtkP/PVP++hR9Yo/wA6+8OWXYn3e1G72qD7ZD/z1T/voUfbIf8Anqn/AH0KPrFH+dfeHLLsT7vajd7VB9sg/wCeyf8AfQo+2Qf89k/76FH1ij/OvvDll2J93tRu9qg+2Q/89U/76FH2yH/nqn/fQo+sUf5194csuxPu9qN3tUH2yH/nqn/fQo+2Q/8APVP++hR9Yo/zr7w5Zdifd7Ubvaq/2yD/AJ7R/wDfQo+2wf8APaP/AL6FH1ij/OvvDkl2LG72o3e1V/tsP/PVP++hS/bIf+eqf99Cj6xR/nX3hyy7E+72o3VB9sg/57J/30KPtkH/AD2T/voUfWKP86+8OWXYm/Cl4qv9sg/57J/30KlVxIoIII9QaqFanPSEri5WtySiiityQooooAKKKKACiiigAooooAKKKKAEr5s+N3/J0Xwe+lx/WvpOvmz43f8AJ0Xwe+lx/WvOx38Neq/NAfSY6VwfjvwTqmveJ/Dev6RdWEF5o63SKmoW7yo3nKilhtZSrAIRn0Y13i9KWuyUFOPLIDyzwL4D8W+Dbi6Vb3w89vfanNqN60VhKkshllLuAfNxkA7VJBwFGc16kvSgUtTSpRpK0QE61RvtQW1+VRuf09KmvLkW8JY9eg+tc8zNIxLHLHqa76VPm1ex5GOxn1dckPiZM+oTyMcvx/dwMVkfD3wloPw+t76x0LT49Mtr66a8khhJ8sSlVU7R/CMKvA4HtWhRXRKhCWttTwaWNq058zlc6jrVLVpPLtSAeWOKTS7zzotrHLpx9ar61Ju2J6c1ywi/aKLPo8RXjLDSqR6ozaKKK9I+MCiiigC/o83ltKnYjdVOaTzJnfruOaSKQxMSOpBFNrKMbSbO2pX5qEKXYKKKK1OIKKKKANvSZC9sAeo4rQrG0V/ndfoa2P4a8uorTZ9xg5+0oxYtFFFZnaFFFFABRRRQAUUUUAUtU40+4x18tv5V454A+Hdj4s0iW7ubi4jdZjGBEygYAB7qfWvY9Uz9huP9xv5Vw/wV/wCRZnz/AM/Lf+grX55nGDoZhneGoYmPNDlk7Pa90exh606OFqSpuzuv1Gf8KP0j/n9vv++0/wDiaP8AhR+kf8/t9/32n/xNej9zRivX/wBVcm/6B1+P+Zh/aOL/AOfjPOP+FH6R/wA/t9/32n/xNH/Cj9I/5/b7/vtP/ia9HxRil/qrk3/QOvx/zD+0cX/z8Z5x/wAKP0j/AJ/b7/vtP/iaP+FH6R/z+33/AH2n/wATXo+KMUf6q5N/0Dr8f8w/tHF/8/Gecf8ACj9I/wCf2+/77T/4mj/hR+kf8/t9/wB9p/8AE16PijFH+quTf9A6/H/MP7Rxf/PxnnH/AAo/SP8An9vv++0/+Jo/4UfpH/P7ff8Afaf/ABNej4oxR/qrk3/QOvx/zD+0cX/z8Z5x/wAKP0j/AJ/b7/vtP/iaP+FH6R/z+33/AH2n/wATXo+KMUf6q5N/0Dr8f8w/tHF/8/Gecf8ACj9I/wCf2+/77T/4mj/hR+kf8/t9/wB9p/8AE16PijFH+quTf9A6/H/MP7Rxf/PxnnH/AAo/SP8An9vv++0/+Jo/4UfpH/P7ff8Afaf/ABNej4oxR/qrk3/QOvx/zD+0cX/z8Z5x/wAKP0j/AJ/b7/vtP/iaP+FH6R/z+33/AH2n/wATXo+KMUf6q5N/0Dr8f8w/tHF/8/Gecf8ACj9I/wCf2+/77T/4mj/hR+kf8/t9/wB9p/8AE16Piij/AFVyb/oHX4/5h/aOL/5+M84PwR0j/n8vf++0/wDiaP8AhSOkf8/l5/32n/xNeiSN5cZbGcDNfHnhv9qL4xePory98L/D/TtT06K4aESRxyvsIwQrN5q5YKy5IA69B0rjrcO5Hh2lPD6vtdi/tHFf8/Ge/wD/AApDR/8An8vf++0/+Jpf+FI6P/z+3n/faf8AxNeMf8Ls/aH/AOiXWX/gPL/8eo/4XX+0P/0S6y/8B5f/AI9XP/YuQ/8AQL+DD+0sV/z8Z7P/AMKR0f8A5/bz/vtP/iaP+FI6P/z+3n/faf8AxNeMf8Ls/aH/AOiW2X/gPL/8eo/4XZ+0P/0S2y/8B5f/AI9R/YuQ/wDQL+DD+0sV/wA/Gez/APCkdH/5/bz/AL7T/wCJo/4Ujo//AD+3n/faf/E14x/wuv8AaH/6JdZf+A8v/wAeo/4XX+0P/wBEusv/AAHl/wDj1H9i5F/0C/gw/tLFf8/Gez/8KR0f/n9vP++0/wDiaT/hSOj/APP7ef8Afaf/ABNeM/8AC7P2h/8Aol1l/wCA8v8A8eo/4XX+0P8A9Eusv/AeX/49R/YuQ/8AQL+DD+0sV/z8Z3nxC+Hth4R0mG6tZ7iZ3mEZWVlIwQT2A9K6HT/g1pV1ZwzNd3itIisQHTGSP92vnrx98WPjjqmlxRax8OrSxthMGWRYZAS2DxzKexP5V0Fj8aP2g47SFIvhjZvEqKFb7PLyMcH/AF1fP4bJcq/tSvzUbw5VaOt0+rt0udtTMa/1eFpO93d/dY9u/wCFIaR/z+3v/faf/E0v/CkdH/5/bz/vtP8A4mvF/wDhdn7Q/wD0S2y/8B5f/j1L/wALs/aG/wCiXWX/AIDy/wDx6voP7FyH/oF/BnF/aWK/5+M9n/4Ujo//AD+3n/faf/E0f8KR0f8A5/bz/vtP/ia8Y/4XZ+0P/wBEtsv/AAHl/wDj1H/C7P2h/wDoltl/4Dy//HqP7FyH/oF/Bh/aWK/5+M9n/wCFI6P/AM/t5/32n/xNH/CkdH/5/bz/AL7T/wCJrxj/AIXZ+0N/0S6y/wDAeX/49R/wuz9of/oltl/4Dy//AB6j+xch/wCgX8GH9pYr/n4z2f8A4Ujo/wDz+3n/AH2n/wATR/wpHR/+f28/77T/AOJrxn/hdn7Q/wD0S6z/APAeX/49Sf8AC6v2h/8Aoltl/wCA8v8A8eo/sXIv+gX8GH9pYr/n4z2f/hSOj/8AP7ef99p/8TR/wpHR/wDn9vP++0/+Jrxj/hdX7Q//AES2y/8AAeX/AOPUv/C7P2h/+iXWf/gPL/8AHqP7FyL/AKBfwYf2liv+fjPZv+FI6P8A8/t5/wB9p/8AE0f8KR0f/n9vP++0/wDia8Y/4XZ+0N/0S6y/8B5f/j1H/C7P2hv+iXWX/gPL/wDHqP7FyL/oF/Bh/aWK/wCfjPZ/+FI6P/z+3n/faf8AxNH/AApHR/8An9vP++0/+Jrxj/hdn7Q//RLrL/wHl/8Aj1H/AAuz9of/AKJbZf8AgPL/APHqP7FyL/oF/Bh/aWK/5+M9n/4Ujo//AD+3n/faf/E0f8KR0f8A5/bz/vtP/ia8Y/4XZ+0N/wBEusv/AAHl/wDj1H/C7P2h/wDol1l/4Dy//HqP7FyL/oF/Bh/aWK/5+M9n/wCFI6P/AM/t5/32n/xNH/CkdH/5/bz/AL7T/wCJrxj/AIXZ+0P/ANEtsv8AwHl/+PUf8Ls/aG/6JdZf+A8v/wAeo/sXIv8AoF/Bh/aWK/5+M9n/AOFI6P8A8/t5/wB9p/8AE0f8KQ0j/n9vf++0/wDia8Y/4XZ+0P8A9Etsv/AeX/49R/wuz9of/oltl/4Dy/8Ax6j+xch/6BfwYf2liv8An4z2f/hSOj/8/l7/AN9p/wDE0n/CkNI/5/L3/vtP/ia8O1T4/fHvRdNu9Qvvhrp9tZWsTTzzPbzbY41BZmP77oACaq+Gf2kvjj4w0aDVdF+Hum6lp0xYR3MMExRirFTj992II/Cj+xshvy/VtfRh/aWK/wCfjPfP+FI6P/z+3n/faf8AxNH/AApHR/8An9vP++0/+Jrxj/hdn7Q//RLrL/wHl/8Aj1H/AAuv9of/AKJdZf8AgPL/APHqP7FyH/oF/Bh/aWK/5+M9n/4Ujo//AD+3n/faf/E0f8KR0f8A5/bz/vtP/ia8Y/4XX+0P/wBEusv/AAHl/wDj1H/C7P2h/wDol1l/4Dy//HqP7FyH/oF/Bh/aWK/5+M9n/wCFI6P/AM/t5/32n/xNH/CkdH/5/bz/AL7T/wCJrxj/AIXZ+0P/ANEtsv8AwHl/+PUf8Lr/AGh/+iXWX/gPL/8AHqP7FyH/AKBfwYf2liv+fjPZv+FI6P8A8/t7/wB9J/8AE1S1j4PaVp+k3dzHdXjPDC8ihnTGQCRn5a8m/wCF2ftD/wDRLrL/AMB5f/j1U9Y+M/7QE2l3aXHwys44GiYSSC3l+VcHJ/13pXPiclyT2E+TDWdnbR9jSGY4rmV6jPS/APw50/xZorXlzPcxOsjR7YmULgAeqn1rp/8AhSOj/wDP5ef99p/8TXzr4E+LXxx03R3h0f4dWl7beaWMjQSk7sDI4lHtXR/8Lr/aG6D4XWX/AIDy/wDx6vPyfJcn+o0vrGH5pW1au036o2xWZYj20uSbSvoj2j/hSOj/APP7ef8Afaf/ABNH/CkdH/5/bz/vtP8A4mvGP+F2ftD/APRLrL/wHl/+PUf8Lr/aH/6JdZf+A8v/AMer2P7FyH/oF/BnL/aWK/5+M9n/AOFI6P8A8/t5/wB9p/8AE0f8KR0f/n9vP++0/wDia8Y/4XX+0P8A9Eusv/AeX/49R/wuz9of/ol1l/4Dy/8Ax6j+xci/6BfwYf2liv8An4z2f/hSOj/8/t5/32n/AMTR/wAKR0f/AJ/bz/vtP/ia8Y/4XZ+0N/0S6y/8B5f/AI9R/wALs/aG/wCiXWX/AIDy/wDx6j+xci/6BfwYf2liv+fjPZ/+FI6P/wA/t5/32n/xNH/CkdH/AOf28/77T/4mvGP+F2ftD/8ARLbL/wAB5f8A49R/wuz9of8A6JbZf+A8v/x6j+xch/6BfwYf2liv+fjPZ/8AhSOj/wDP7ef99p/8TR/wpHR/+f28/wC+0/8Aia8Y/wCF1/tD/wDRLrL/AMB5f/j1H/C7P2h/+iW2X/gPL/8AHqP7FyL/AKBfwYf2liv+fjPZ/wDhSOj/APP7ef8Afaf/ABNH/CkdH/5/bz/vtP8A4mvGP+F2ftD/APRLrL/wHl/+PUf8Lq/aH/6JbZf+A8v/AMeo/sXIv+gX8GH9pYr/AJ+M9n/4Ujo//P7ef99p/wDE0f8ACkdH/wCf28/77T/4mvGP+F2ftDf9Eusv/AeX/wCPUf8AC7P2h/8Aol1l/wCA8v8A8eo/sXIv+gX8GH9pYr/n4z2f/hSOj/8AP7ef99p/8TR/wpHR/wDn9vP++0/+Jrxj/hdf7Q//AES6y/8AAeX/AOPUf8Ls/aG/6JdZf+A8v/x6j+xci/6BfwYf2liv+fjPZ/8AhSOj/wDP7ef99p/8TR/wpHR/+f28/wC+0/8Aia8Y/wCF2ftD/wDRLrL/AMB5f/j1H/C7P2hv+iXWX/gPL/8AHqP7FyH/AKBfwYf2liv+fjPZv+FI6P8A8/t5/wB9p/8AE0f8KQ0j/n9vP++0/wDia8Z/4XZ+0N/0S2y/8B5f/j1H/C7P2h/+iW2X/gPL/wDHqf8AYmRf9Av4MP7SxX/Pxns//CktI/5/L3/vtf8A4mj/AIUjo/8Az+3n/faf/E189+HP2ovjV4suNQg0fwFpeoTafL5F2kMExMMgJBVv33Xg/lW7/wALs/aG/wCiXWX/AIDy/wDx6lHJshkrxw1/kw/tLFf8/Gez/wDCkdH/AOf28/77T/4mj/hSOj/8/t5/32n/AMTXjH/C7P2h/wDoltl/4Dy//HqP+F2ftD/9Etsv/AeX/wCPUf2LkP8A0C/gw/tLFf8APxns/wDwpHR/+f28/wC+0/8AiaP+FI6P/wA/t5/32n/xNeMf8Lr/AGh/+iXWX/gPL/8AHqP+F1/tD/8ARLrL/wAB5f8A49R/YuRf9Av4MP7SxX/Pxns//CkdH/5/bz/vtP8A4mj/AIUjo/8Az+3n/faf/E14x/wuz9of/ol1l/4Dy/8Ax6j/AIXX+0P/ANEusv8AwHl/+PUf2LkP/QL+DD+0sV/z8Z7P/wAKR0f/AJ/bz/vtP/iaP+FI6P8A8/t5/wB9p/8AE14x/wALr/aH/wCiXWX/AIDy/wDx6j/hdn7Q/wD0S6y/8B5f/j1H9i5D/wBAv4MP7SxX/Pxns3/CkdH/AOf29/76T/4ml/4Ujo//AD+Xv/fSf/E14x/wuz9of/ol1l/4Dy//AB6svxJ+0h8c/COi3Orax8O9N0/Tbfb5txNBMFTcwUZ/fd2YD8aHkuQpXeG/Bh/aWK/5+M96/wCFI6T/AM/t7/32n/xNH/CkdH/5/bz/AL7X/wCJrw3R/wBoP49eINKtdS074b6feWN1GssE8cE22RCMgj99Vz/hdn7Q/wD0S2y/8B5f/j1CyXIWrrDfgw/tLFf8/Gez/wDCkdH/AOf28/77T/4mk/4Ufo//AD+3v/faf/E14z/wuv8AaH/6JdZf+A8v/wAeo/4XZ+0P/wBEtsv/AAHl/wDj1H9i5D/0C/gw/tLFf8/GexTfBXSI4mYXl5kDP30/+Jrlfh58PbHxdp9zcXNxcRvFN5YETKBjAPdT61wcvxp/aFaNg/wvswCOf3Ev/wAepP8AhP8A4o+E2+z+B/B9v4hsZR5k880bsY5em35ZF7AH8a+XxmVZRHNsNSjQtGSlda62tb7j0aONxMsLUm5u6aPav+FJaP8A8/l7/wB9p/8AE0v/AApHR/8An9vP++0/+Jrxn/hdn7Q//RLbP/wHl/8Aj1H/AAuz9of/AKJdZf8AgPL/APHq+p/sTIv+gX8Ged/aWK/5+M9n/wCFI6R/z+Xv/faf/E0n/CkdH/5/L3/vtP8A4mvGf+F1/tD/APRLrL/wHl/+PVb+G/7RnxG1L4xaH4L8Z+FdP0L+0klfEcciSgLE7hhmRgRlMdO9CyXIbpPDWvpqmH9pYr/n4z0jxB8I9M0fRb29jurtngieQKzrtJAJ5wtdb8Mvm8F6eSSflP8A6EaveOP+RR1Yf9O0n/oJqj8L/wDkS9P+h/8AQjWGDy/DZbxCqeEhyxdNtpd7o6qlapWwTdR3akvyZ1tLRRX6OeKFFFFABRRRQAUUUUAFFFFABRRRQAlfNnxu/wCTovg99Lj+tfSdfNnxu/5Oi+D30uP6152O/hr1X5oD6TXpRQvSlr0FsA0dKN1Ke9V7qb7PC7+1UtSZSUU5MydUuPOuCgPypx+NU6CxZiTyTzRXpxjypI+ExFV1qjk+oUUUVoc5Lazm3uEcdO/0qXUpvMuOOgUCqnejvk8ms3Fc3MdSrtUXS6XFooorQ5QooooAKKKKACiiigAooooAtaXJsvFB/iBFb9cxDJ5c0bdMMDXTjoK8+sveufVZXO9Jx7MWloornPbCiiigAooooAKKKKAKeqf8g+f/AK5t/KuH+Cv/ACK8/wD18t/Ja7jVP+QfP/1zb+VcP8FP+RXn/wCvlv8A0Fa+Kxn/ACUOG/wT/NHpU/8Ac6nqv1PQ+5paTuabJ9xvpX2p5ouQKN3uK8BuvE+rpcyquqXQUOwAEzcc/Wo/+Eq1j/oK3X/f5v8AGu1YOTV7nmvHRTtY+gs02vjH4yfHjxf8OdW8Jpp9w95ZXs9w+pCR5WlW2hi8yRotp+8FDNyDnbjjORnaD+0/rFzqXiKzvbyWee312507Tkt7jyVkt4be2laSR5JAN2bgDjGcr8vDEQ8O07NlrFJq6R9wgj1oz718PJ+1Zqcmr63sstYm0HTfDEPiX7fFdKXkjbzyyCPdnP7ggerBu20no7f9oyG+1S/sLPVdSvZ7SeyhDQSExzi6JWKSNs4ZdyyAkdCje1H1fzH9a/un19u96M+9fF1v+1Okkdlczy63aabqdndX2lXs0gC6hFAu9/LUPuBaPMiBlBZATxjFR3H7Q+vWvijQre6fXLU6xYu9loe5JLqaTzo1EhKMQqrGxdiWAUdfmwCfV33BYq/Q+1fpRu96+N/i18ZfFvge40R4Na/sjQ7kyrf69qFvNd29k42eUsqxyxmNH3PmZm2LsAb7wItat+0XHo+qWenzanqj3NxrcehARsTtlkh81JTz/qyCo3erqO9P6s1uyVi01dI+viRxzSV8Tar+07qqeFdU8R6Q2qalawaK2r21nITA80XmSKsu5n4RlQOF2htpB5J2jqdJ+NWs634guNKtbfXS9kY4tRuGmQR2UzxLMIWPmZZgjxklAwHmLyecL6u+4/rX90+scjueaK+K/gv+0Dr/AI00Xw3Y61NrVnr154fttW+0XTII75Ssayyp5bELh3U7SFOJFIGOBpW/xg8Zf8LyufCE9+g0X+whqsEkcspuPM88REMd23HXgD8e1V9Xl3F9bV2mj7D3f5zSFq+ff+Ep1n/oKXX/AH+b/Gj/AISrWP8AoK3X/f5v8ar6nLuZ/X49j6C4penNcp8Obye+8MxzXM0k8pkcF5GLHr6murrilHlbR6MJc8VJdSOf/Uv9DXzP+wL/AMkt1/8A7Dcn/oiGvpib/Uv/ALpr5n/YF/5Jh4hH/Uck/wDRENeVW/3qn8yz6dooor1ACivIv2hte1LQdH0l9Nv7iwkknYO1vKULDb0OK8N/4WJ4p/6GLVP/AALf/GgD7PoryX9nzXNR17QdUl1G+uL6SO5Co1xKzlRsBwMmvWqACiiigDzj43f8i5af9fS/+gvXb6L/AMgm0/65L/IVxHxu/wCRctP+vpf/AEF67fRf+QTaf9cl/kK+HwX/ACUGK/wwPUq/7nT9X+hfpOBzS5rmfiBdTWPha9nt5XhmUx7XjYqRl1B5HtX3MY8zSPIlLli2dLke1GfpXz5/wlWs/wDQUu/+/wA3+NL/AMJTrP8A0FLr/v8AN/jXb9Tl3PO+vx/lPoHNLXwn4y/aW8ZeDfFXjKyu7hBo9nZyJo96ZZMnUI7L7UYJ/n5EiFihXb/qXBOWWum1D9pN9L1htNkvNQuJYbmzsLqWG4UCK4ufL8pQrOGYfvYtzAHbvHXDYz+r+Zt9a0vyn2N+NJ+P618aeEf2jtY1qK2bWLfV9B+1ajfadbyzXKyRM1s8wO5lc7SUgY84GVbBI5NbTv2sbfWNE03ULKbXrl77T4b9LRBiVPOn8iCJsuFDvIsuBnAEMhJGBlfV/Mn63/dZ9q8+tGa+N779o7VNPaGzksvEEmuS6qNIGlwyoX8420lyGDmQIYzFEx3buO461W+EPx617xnfa1pN1quo3uo6fqmqRzzIwWK1hj1CeG3icqR85jj44JIQsx5BNfV3e1w+t6X5WfaP4UZFfFNr8cfGlv8AELXNH1fUWsIoGlbSNKFrOZ9WhSFXDwXbSiFpN5YGLbuXAJOOasaT+1Xp2uTXEVnqurF47XT7uPzSU89bzYY1jy3zMoliLgfd8xeuan6u+4/ra6I+zuKMiviyz/aJ19vEmlaYBqF/Z3kms+dqEcwhW1Wxvltm3I0hLBQSSwOThSFGSq5Pi39pHxfHpfgvVtKtfENvZavrdrbpGxieW9t5YZmChS/7tiURsttwOrD5gD6u+4/rWtuU+6dwpMivl3wz8Uta8WaDcX1rNqFldwz3Fs1reXGCs0TtGylkZht3L1GeO3aqfw7+JXi7xBZav/bOphb2x1Oaz/0GSRY9qhSPvMSSN2CeM4zgdKtYV9yPriV7rY+r8j2pP5V8+/8ACU6z/wBBS8/7/N/jS/8ACU6x31W7/wC/zf41X1SXcSx0ex9B0tNj+6Oc06uE9I4n42f8kb8df9gG+/8ASd64b9jT/k3vw6f+ml1/6UyV3Pxs/wCSN+Ov+wDf/wDpO9cN+xn/AMm9eHP+ul1/6UyV5kv97j6MR7dS0UV6Ywor5h+MHjLXtJ+ImrWtlrV9a20flbIYbh1VcxITgA8c5rj/APhY3in/AKGLU/8AwKf/ABoA+zqK5/wJdTXngzQ57iR5p5bKF3kkJLMSgJJPc10FADTWX4p/5F3Uv+veT/0E1qnvWV4q/wCRd1L/AK95P/QTXn47/dav+F/kaU/4kfU5P4LD/ilpB/08P/IV6B6VwHwZ/wCRXm/6+X/ktd/XjcL/APInw/odeP8A96qeofhR+VN/h5rwK48T6wtxIBql2AGOB5zev1r6+nSdR2R49asqKTa3Pf8AcKXivnz/AISnWf8AoKXX/f5v8a86+MPxn8a+AodDl0Q3GsNcXMjXVnvleeW3jiaSRYArcy7VO1SCGIC8ZyNnhZRV7nNHGxk7WPsYUtfDnhf9qbUNYbW5pdSa7sv7eXS9HktpzELiJrGK7EjtI4A+VnOeOAoxmrOk/tSalrmvPDZW2tTaPHor6rJe/aEDxNHLPFJEyb+SrwMmVLAt04+apWH8zT60ux9tfjR+NfHVx+01aRXFxb2+ralfTQnT1227khnvZY44UDFgCw8+F254WVTzmkk/aTnt2hmuZNYtNLu2uUsdQmmVUu3gR3YKm/cNyxyFcjnYc44zX1X+8ifra/lZ9jZFAx65r4Yk/aa1xvFvgqQ3OsWeleIdHvri00qZ0NzezCewFuygMSv7ueZipIwu4sBs46H4tfGLxf4JXRp7bU5tP0eZ5v7R1u4tJ9QhsNqBk8yKKVGVG+fMuSqbRuGGyI+rvuP62rpW3PsbdRn1r421L9pyDQdRXTrzVtRmuv7TsNLEluxZJDdxq0Fwnzf6gsxTfk4ZWHOKzvGf7TWr+H9Jv9T06fUtQS30XVdSismJjab7HNFGz+az/KmZOmwkjnIxgv6u+4fWtfhZ9tfSjI718l6f8adf1TVBp0NhrouIhGb3NzFizLnKhj5nzHbhzszgEdTxWD8Gvj94i8YaD4ZtdZm1m21i+0WLUBeXDIsd5gIJZFEbHaNzqQCFyGGB2p/VntcX1tWvY+0vxpNwr5Gv/it4ysfi5o/hxtQU6LqOm3d4kiyym4EkLW64JyFAPnHjB6DkdK7j/hKtY/6Cl3/3+b/GqWFk+pMsbFW0PoHj1p3FfPn/AAlWsf8AQUu/+/zf416h8L7651DQZ5LqeS4kFyyhpXLHG1Tjn6ms6mHdJXbNKOKVaXKkdnSN9006kb7prklsdx8z/sjf8jp8XP8AsPSf+hyV9MetfM/7Ip/4rT4t/wDYek/9Dkr6Y9a87L/4C+f5iWwUtFePftDeINT0Gx0RtNv7mwaWSUO1vKULABcA4PvXpjPYaK+Mf+FjeKf+hi1P/wACn/xr2X9nXxDqmv8A/CQHUtRur/yvs4j+0Ss+zPmZxk8ZwPyoA9pooooAKKKKAEPSvGv2wP8Ak3bxb9LX/wBKoa9lbpXjX7YH/Juvi36Wv/pXDXHi/wCBP0A6X9n3/kiPgj/sE2//AKAK9AHSvP8A9n3/AJIj4I/7BNv/AOgCvQF6Vph/4UPRfkAtFFFdAEFz/wAe8n+6a86+CP8AyBb/AP6+v/ZVr0W5/wCPeT/dNedfBH/kC3//AF9f+yrXxWYf8j3B+k/yR6dH/dKvqv1PSmp1NanV9qeYNavmDx5/ye94B/7B0v8A6JuK+n2r5g8e/wDJ8Hw//wCwfL/6JuK8rHfDD/EvzFLY+g/HP/Ipav8A9e0n/oJrP+GH/Il2H0P/AKEa0PHP/Ipav/17Sf8AoJrP+GH/ACJdh9D/AOhGvnZf8lLD/r0//SkerH/cZf4l+TOuooor7c8sKKKKACiiigAooooAKKKKACiiigBp7cV87fGLS7y+/aa+FM1tazTw2sc8lxJHGWWJem5iOg+tfQs8ywxl2OBjNc/dXDXUxc8dgMdves54V4mPLeyumcGKxUMPHXV9joFmSThWB+hp9cwrNG25W2kdxW1p179oXa/Dr1rrnScFdGGFx8cQ+SSsy9WXrUwWNIx/EcmtMtXPahL51057LwKKMby9Cswq+zotLd6EFFFFeifHBRRRQAUUUUAFFFFABRRRQAUUUUAFFFFABRRRQAV0tu26FT7Zrmq39ObdaRnvjFcmIWiZ9BlMvelEuUUUVxH0oUUUUAFFFFABRRRQBS1T/jwuD/0zb+VcP8Ff+RZn9PtLf+grXc6p/wAeNx/1zb+VeM+APiJZ+FdHltZra4ndpTJmFVIGQOOT7V+dZxjsPl+d4atiZWjyyV/mj2cNRnWwlSMFd3X6nuFNb7p+ledf8Lt07/oH33/fC/8AxVH/AAuvTW4On3w/4Av/AMVXsLirKb/xvwf+RyvL8Tb4GebXn/H3P/vt/OoadNMJ5nkAKhiWAYYIya5q8+IXh/T3uluL/wAs2sqwTDyZDtdgxA4XnhW6elfplKpGpCM4u6aufDyi1Jxa1RJrvgyw8Ra/oWrXZkM2jtcGGMFTHJ50RjcOCDkbTxgj8a4nRf2ddC8K2siaBquraNcfbp76C6hkika3EscUbQKskbIYgkEQAZSRsBzmu0k8f6DHLPE1/iSC4FrIPJk+WU7gF+7z9xuenFMl+Ifh+BZXfUNqxTfZ3PkycSc8fd9j7VTUHqxpzjoiG1+H9tZeMLfxJHqF6b9dNXS7hWMZju4kdnjMi7OGVpJCChX/AFhByMAc14Y/Z58M+EtQ8K3djLfq/h2OaOCN5lZbgOCqed8uXMSs4j5G3e3Umurj+Inh6WUxpqGXEy2xHkyf6xs4X7v+yeenHWpF8eaE6oRfcPc/ZF/cyf63j5fu+456e9LliNOojlbP4D6Hawpbve6jd2NraT2Ol2dxJG0elQzLskEB2bs7flBcuVX5RhSQdXxN8J9I8VS2U11cXkF3YWwgsru1lEc1q6srLMjY++CuOcqQSrKQSK0bf4jeHrp4Fi1De083kRjyZBmTj5fu/wC0OelLD8QvD9w8KR6huaaf7NH+5k5k4+X7v+0vPvTtAV57kXjrwOfHGnixk1vU9LtJIpLe6hsHjC3cLgB433o2AQMbk2sMnBGa5bWP2ePDGpzXb2732kJNoq6HDHp8/lraQgxESRAg7ZALeABjnAiXAHOeut/iFoF0toYr/cLqVoYf3Mg3su3I+7x95evrTI/iP4dk8jbqOfP3eX+4k+bb1/hoai9wTmtEU9Q+Fei32m31gPOtrS60UaCYrcqix243AFBjhhu+nA4pdH+G6aL4ibWIdd1Vp7gRtqELvF5WoTJEsKzyqsY2vsVQfLKKdq5U4FXbf4ieH7o2wiv95uWKxfuZPmx1/h4/Glj+Inh+byNl/nz4nmj/AHMnKJu3H7vbY3X0otEL1Cn4b+Gmm+Gbrw3cW091JJoehnQbfzWUh4MwHc+FGX/0deRgctx0xUf4WBvioPHP/CSauLoWn2D+zQtt9l8jO7Z/qfM+/wDPnfnPfHFasPxG8PTeVs1Dd5sTTJ+5k5VSwY/d7bW/Knf8LC0Dy7d/t/y3ETzRfuZPmRN24/d4xtbj2o90XvnR0VzsPxA0G4VWjvtwa3e6B8mQfu0LBm+72Ktx146citjTNTttYsoru0k863kG5H2kZH0IzVXRDi0e5fC3/kUo/wDrq/8AOuvzxXzBb/taeGvhj53h7UdF166u7aQlprS3iMTbuRtLSAnr6VY/4by8F/8AQu+Jv/AaD/49XyeIxlCFWUXLW59JQ/hR9D6Um/1L/wC6a+Zf2Bv+SY+If+w5J/6IhqST9vDwWyFf+Ed8TDIx/wAesP8A8eqH9gNxJ8MfEDDgHWnIz1/1ENeZKvTrYqnyO9rnQfUFFFFe4B4n+04f+JPog/6bv/6CK+e6+gP2nv8AkG6GP+msn8hXz/QB9E/syf8AIu6v/wBfY/8AQBXs9eMfsyf8i7q//X2P/QBXs9ABRRRQB5v8bP8AkXLT/r6X/wBBeu40U/8AEptP+uS/yFcR8bv+Rbtf+vlf/QXqpY/GTTLW0hhayvGMaKpKomOB/vV+Z/2nhMtz/EvEztzRjY9z6vVrYOHs43s3+h6f/OuY+JX/ACJt/wDWP/0YtYH/AAu7Sf8Anyvv++E/+KrJ8UfFLTvEWh3Onw2t3HNMU2tIi7RhwecN7V9RhuJsqq1oQhWTbaS3/wAjzK+BxEaUpODtY4aioL68h02znurh/LghQySPgnCjqcDmsD/hY/h1d2dQ+7Es5/cSfcOMH7vuK/R+ZHxSi+hm+MPhHo3jbQ/FmlahLd/ZvEbI9y0UgV4WSJI1aI7flIEannPOe3FTx/DmO08TvrNhrF/py3Dwy3ljAsJhu3jRUVnLRl1OxEU7GXIUZzVyP4jeHpFZl1DIWD7Q37mTiPIG77vqfrUk/j7QrZWaW+2BbZLs/uZP9U5UK33e5deOvNRyxNeapscp4g+A+keJPC+s+Hr3VdUOl6hfyahHHHJHG9m0skjzJE6oG2yedKrbix2uQCOKtr8E9Cjj8S7J71bjXL6PUDc+YvmWkkbb4xCduAiSF5ApBG6R85DYrdb4ieH1jlc3/wAsMaSuRDJwjgFT93uGFE/xE8PWzSrLqG1oY1lf9zIcK2Np+7/tD86OWAr1DO074W2dpfaZqN1qeoapq1lqTao19cmNXuJDaTWoDqiKoVYpjgIq8qD65d4b+Fum+FNY/tHT7u8jme4vridWZCtx9puJLgo428hJJX2EYIBIJOTnSPj/AEEW9zOb/wDdWyRyTN5MnyrIBsONvOcjp+OKZdfETw/ZtcCa/wBn2dlST9zIdpYEgcL6A9KLRC9R7lST4cx3Piq21m71vVb2G0uGu7XTJpIzbwTMrJuUhBIRh3AVnKjdwBgVz+g/s9+GPDl5o11aPeCXS7+6vYN0igFZ3VzAwCjMSNFDsXqvkxjJAIPVTfEbw7bm48zUdv2chZf3Enyknj+Hn8KdP8QvD9u1yJNQ2m3mWCT9zIdsjbsLwvP3T0449xRaAXqGOvwh02G406e31C+t5bO91G6LKY2E8d9cG4ubeQMhBjZyuMAOAi4bOSYLL4M2VrHosEuuaxfWWiX0d9ptrcSxFLby0kRIsrGC6BZDyxL/ACr83r0Mnj7QYZJ0e/w0FwLWQCKQ7ZDn5fu8/dPPTioX+JXhyNJXbUcLHL5LHyJOH54+77Gj3QvUL2k+GYtE03ULSzuriI3lzc3RmyheKSZ2diuVxwzHGQegzmsn4f8Aw/k8BnVS3iLVteOoXH2p/wC0xbjy5D95l8mGP73Gc5+6MY5zfTx5oUjlVvst9pFnjyn/ANac4X7vseenvTZPiBoMVwsD3+JTcNahfJk/1q4BX7v+0OenNP3Re/qdFRXOQ/EPw/MsLJqG5Zpvs6HyZBl+OPu+456Vt6heJp1jcXcqu0UEbSuI1LMQoycAck8dKJNcrYoxaaufTqfdFOFfMw/b48BrwdD8Tcf9OkH/AMfo/wCG+vAX/QE8Tf8AgJB/8fr4946h/MfUJqx7J8bP+SO+Ov8AsA3/AP6TvXDfsZf8m9eHP+ul3/6UyV5n8Q/22vBPinwD4k0W10fxDFc6lplzZxST20IjV5ImQFiJicZIzgE+1emfsZ/8m8+HP+ul3/6UyVyQrQrYuLg72T/Qs9vooor2hHyR8bv+Soa19Yv/AEUlcNXcfG3/AJKdrf8AvRf+ikrhm6UAfaHw/Xb4E8O/9g63/wDRS10NYHw//wCRD8N/9g22/wDRS1v0AIe9ZXin/kXtS/695P8A0E1qnvWV4o/5F/U/+veT/wBBNcGO/wB1q/4X+RpT+OPqcn8Gc/8ACLzY6/aG/kK79u9eJ+AfiNY+E9He0ube5mkaUybolUjBA9WHpXS/8Lu0nr9ivv8AvhP/AIqvgOH+Issw+V0KVWqlKKs1r/kezjcDiJ4iclBtNno7H5fwr5uuf+PiX/fP869K/wCF26T3sr7H+4n/AMVXmTTCeRpFBCsSRng1+iZLm+CzKpKGGqJtK73Pls0w9WjGMqkbISsjWPDNtrWqaPfTPKsulzPNCqEbWLRshDZHIwx6YqncfELw/azXUUt/tktphBKvkyEq5JGPu88qeRxxRcfELQLNroTahsNrKIZv3Mh2uc4H3efunpX1ja6ngcslscrpvwB8P6HDerpF5qGkzT6y+uQ3Fs8Ra1neHyWWNXjZPL8vK7WVhz7DG9b/AA4gt/Emma5/a+oyX9rYtp9yW8nZqEZYuBMvl4BV2Zh5ez7xHK8Vbn+Inh62+0+ZqG37NMLeX9zIdsh3YHC8/cbkelSSePtCikdGvsMlz9kYeVJxL02/d/XpU2iXeocZ4d/Zz8L+Gb7w1d2s19JNoV5NeQmeRX89ni8lFl+X5hFEESPGCojTOSM1or8FtLaTy59U1S60yEXH2HTZ3iMNi0yssjxHy95O13A3swUMcAVt/wDCyvDm3d/aPy+b5P8AqJPv+n3amTx9oMkkUa3wLyXJtFHlPzKMZX7vuOenPWjlgPmqGDq3wW0PWLfQ4pp7yNtG0h9Jspo5FDxBntpFnB2/61WtIiD93lsqc1teLfBs3iqyhtl8Qapo6KrRytYGHNwjDBV/MjcfioBGTgjNLH8RPD0zQqmoBjNM1un7mTlxjI+7/tD25p0fxA0GWO3kS+ytxKYIz5MnzOMZH3ePvDk+tHuk+/ppscvqn7P/AIU1SIRJFcafEugN4ciSzl2iK2wdjLkHEkZZijdi2eeKuXXwY0S+0e0024uLyWCDQLrw6zM67pYLjyTLIxA/1pMCnd0yzHBrcs/iF4fvmt1g1De1xK0EX7mQZdQpI5XsGXn3pV8f6C1vazi/zDdCQwt5UnzbBl+NvGPfr2o5YFc1QytN+Gsml6tDqC+KNalmYR/bldoAt+Y87DIFiG0hcL+62ZCgNmrPh34a6b4Zfw21rNcyNoOlnSLfzmU74iIhufCjLfuhyMDk8VZt/iN4eunhWLUNzTKzR/uZBuC5z/D7HrRH8RPD8scTpqGUlSSRD5MnKxglz93jAB69e1O0Re+zO1D4atqPxI07xe/iTVkksIZLeHTEW2+yiOQR+YpzD5h3NEjZ35BHGBxXa1zSfEbw9J5G3UM+fC88f7mT5kXduP3e2x+PapI/H+gzNEqX2TLC1wn7mTmNc5b7v+yePamuVbEtTe6Ohr1/4Sf8i7cf9fTf+gJXimk6ta65p8N9ZS+dazZKSbSu7BIPBAPUUW37V3hP4T3V74f1bTdcubyOUStJZW8TRENGhGC0ik/livOzCrClTUpuyOzBfxT6jyKRvu18z/8ADfXgL/oCeJv/AAEg/wDj9H/DfHgLp/YniYf9usH/AMfr5147D2+I966Hfso/L8RvjEBwP7ek4/7ay19Livlf9jHXIPE3ij4n6xapJHbahqv2qJJgA6q7SMAwBIBwexNfVFTl75sPFrz/ADJjsLXhv7UB/wBD8PD/AKaT/wAkr3KvCv2oP+Pfw7/vz/yjr0yjwSvef2Xf9X4j+tv/AO1K8Gr3r9l7/UeI/wDet/5SUAe7UUzd70u6gB1FN3UbqAFPSvGv2wP+TdfF30tf/SqGvY91eN/tgN/xjr4t+lr/AOlcNcmK/gT9GK5037Pv/JEfBH/YJt//AEAV6AvSvPf2fWH/AApHwR/2Cbf/ANAFegbqvD/woei/ILj6Kbuo3V0DIrr/AI95P901518E/wDkC6h/18/+yrXot037lx/smvOfgnxot/n/AJ+v/ZRXxeYJ/wBuYP0n+SPSov8A2Sr6o9LalyKbv96PMr7Q8y6HNXy/49/5Pg+H/wD2D5f/AETcV9P7q+YPHv8AyfB8P/8AsHy/+ibivKx/ww/xL8xvY+g/HP8AyKWr/wDXtJ/6Caz/AIYf8iXYfQ/+hGtDxz/yKWr/APXtJ/6Caz/hh/yJdh9D/wChGvnZf8lLD/r0/wD0pHqR/wBxl/iX5M66iiivtzywooooAKKKKACiiigAooooAKaTQ1R3EghjZj0AzQKUlFXZk6tc7pBEDwOTVClZjIxY8knNJXpwjyxsfC4is61VzYU6GRoZVcfw02iraurMwjJxakuh0XnKbYyZyNtc6xLMSe5zVqO4P2GSPvnj6VVrGlHlbPUx2I9tGFuwUUUV0HkBRRRQAUUUUAFFFFABRRRQAUUUUAFFFFABRRRQAnetvSHBtcD+Ekf1rFrU0VuJF98/pXPWXunr5ZLlr27mvRRRXnn1wUUUUAFFFFABRRRQBT1T/kHz/wDXNv5VwfwYt45PDM5ZFJ+0t1H+ytd5qn/IPuP+ubfyrhvgr/yLE/8A18t/Ja+Gx0IT4gwymr+5L80epSdsHU9V+p3v2OH/AJ5r/wB8ika1h2n90uf90VPimt91q+x+r0f5F9x5rlK2584Xn/H1P/vt/OoqmvP+Puf/AH2/nUNfUw2SR8lL4mw69eTR+HFePfHXWvEmk+Kvh+PDl5cxyi6vLqfT4OV1COGDzGgZcHduUMF7hipHIrlPA3x4vLi+177Kl3r0Opa/dSabJJFcyLBZpZ2MiqscUUjgE3AIG0AbmJOcAy6iTsaRpuSuj6LPPXmlrxCx+J3jvUPG2vrbaBHJaW/g+01m10C4kaG5N273Y8slogVZ2hCYY4UKpxksBoaF+0LZeKNZay0uwE8d1LY/2ZM8pX7bFPvMjhdpIMSxSMRyNpQkjdT9pEPYy6Hr9N4/rXisP7QGox6f4d1S68PwDTPEmm3mo6Z9mu2kmVYYPtCLOPLAj3xg5ILBWwvOc1Fr3xS1nw7488EwX2n2o1PxJataQW63rLYwu0qOpklKZ3bFIAC5ZztHXIPaIPZyPcaK8r+OUOrQWunavHNrB8M6bBdzarb+H737LeZ2KYp1IwZFjAlJi3AMWUkNt21nXn7RljDf6dBZWSX9tc3cLvefadiR6XJDC/28kr90PdWylDg/vM9jQ5pOzEqbkrrU9loya8L1r4ta7qXgDWPEOk6eumapJ4W/tu0W4vWeOKJnlMTGPYV8zYFY8YydpJAzXeeG/GGv+IPFWrad/ZOnw2WizRWWoT/a3ZzcPbRXBES+XhkCzxDLFSTu445PaIfs5Hb49qNorxz4F+PNautL8E+HtcsYA194SttVtb+C7aZ5VRYI5BKGRcOTNG3BbOW54509Qt9Sb436N/YusapNbQpPN4gtprrfYx27w7beJYiMJL5yq4KYbaJN5IZRT5utieV3aPUNopaKKszPYfhjZwTeFYmeGN281+WUE9a6z+z7b/n1h/74H+Fcz8Lf+RRi/wCusn867A187WjH2ktOp9NQ/hR9CnNp9r5L/wCjRdP7gr5s/YFwvw18Rr6a3J/6Jir6buP9S/8AumvmT9gb/knPiT/sNP8A+iYq8iqksVTsu5ufT69KWiivVA8N/aeP+haB/wBdJv5LXgNe+ftQN/o/h8dt838krwOgD6J/Zk/5F3Wf+vtf/QBXs9eMfsyf8i3q/wD19r/6AK9noAKKKKAPN/jd/wAi7a/9fK/+gvXZaPZwtpdoTChPlL/CPQVx3xt/5Fu1/wCvpf8A0Fq7fRf+QTaf9cl/kK+DwlKnU4gxXOk/dh+p6tSTWDp27v8AQn+xQf8APFD/AMBFcx8RraKPwffFIlU5j5CjP+sWuurl/iV/yJt99Y//AEYtfb0cNRjUi1Bb9kePWnL2b1PEMA9Rmloor6k+X1CivnT4leOPEfgjXviXqr6rN/wjJtTpkaeYVOlXn2BZbeeM54WSR2RuMhjCRxurspfjJqC+KLjQ9N0GfVRYXllYXEqxXLEtOkLvLvWFogsaTKx3uCQrcZA3Ze0j1NfYytc9ZorxTw/8ZNY8O+G49W8axafHpUmsarZNqFtck/Z0t5Lpl3KYlyAlsVBHJwCeSabpP7Q1/q1jEjeGUs9XitrVb+znveLO9uLt7eO3ZghzjyZmZgOMIADu4PaRF7KXQ9s/CjivLL74qeIrPWLXQRoWny67NrS6Tn7e622xrGa8E27yi2dsJUpt6nqap/A/xpeaxfeIdEnTzGs9X1iaSeac7tp1S6jiSNSPmRRGQTkbflAHPD503YPZySbZ7BRXkDXGveG/iVfS6t/aN62qXM0Ph+SG/ddNwLdWS1nhAIjYssrebscnB+YDCVneG/2l08TXlvbQ+H5YnvbWzlsC1xnz5ne3S7iPygKbdruFT1y28YG2j2i6h7OW6Pb8e1LXien/ABI11vF2jRWEUK6HI/iR7+G8u3llb7FqSwbkYxkjClikYIUb9ucIpqr4x8beK9Y0X4b6vBY2NmdV1+ze2todRkxJHJbXDbJm8scfdJwG5GMHAJXtIj9lK57tRXLeFdcvPGXhm/a5H9k38dzd6c8ljIJPLeKR4vMjLpgnK7huUjpkGsH4OyNdf8JDc2OqXur+F3vdmk3V9dPdNIqoqyskrks8RlD7Tkg9VJUiq5tVZEcrs79D0eiiiqltYmO6PoxdNtNo/wBFh/79j/Cl/s2z/wCfWH/v2P8ACrMf3RSivmfZx7H1S2OC+NOn2yfB3x0wt4QRoV8QQgz/AMe71x37Gf8Ayb14d/663X/pTJXc/Gz/AJI347/7AV9/6TvXDfsZ/wDJvfh3/rrd/wDpTJXnOKWMjb+V/mHU9vooor1BnyP8bP8Akp2t/wC9H/6KSuGbpXb/ABobd8TNc/30/wDRa1xNAH2j8P8A/kQ/Df8A2Dbb/wBFLW/WB8P/APkQ/Df/AGDbb/0Utb9ACHvWT4o/5F7U/wDr2k/9BNax71k+KP8AkX9S/wCveT/0E1wY7/dan+F/kaU/jj6nIfBy2ik8Myl0Vj9ofkjPYV3n2KAf8sk/75FcR8GP+RVk/wCvh/5Cu+7187w1h6Mspw7cFe3Y7sfOX1mpr1IDZwDnyU/75FfOtx/x8S/7x/nX0i33a+brn/j4l/3z/OvusDSp0pPkikfM4+TaiR0UV5d8bLjxMt94Oi8KagbPU21F5hbu4WG9EcLubaU4OEkCld2MqWDDlRXstpK55EY8zseo0mO2K+dfAvx2vbpfEd+kGoaguo+KvsFha3kFw7WMY02OdozHHG7jaySAqF4YknAya6DQfih4013xk6roUVtZJ4dN++j3byQ3H2hZ7iLKboQxDmJNu/b8rBsAkio9pE1dKSPa6K8Wh/aStdW1RLDSdIa8nuJdNtrPdMV+0S3IglmwAhIWG3uEmJ9Ekzjbk3Lr40arpdnpmq3ehW50jVnu47L7Pcu86+TFLIplGzaoYQsDgnaSOvZ+0iL2U+p67ScV8+a38XtX03xh8NNXu9MSJ/EWh3iw2EV2xtoWmudM8l7iUphcCRlyFPzOFH3q7j4xafrtwuj39nJqUmh2Bnm1Sw0XUPsV3NlMRurjBYJ85Me9AxKk5C7SlNa2WwvZtNX6nplFeIah+0ha6XJbpa6a2o6fI2nXcd81xt3aRcJh79/lwvlyLKGT+6m7IzgV/iB8W9Wi8Oahqui2q2mpHwxrep2VxJes0CJazwIjmLYUd2EgcEg4xtzhjT9pEr2Mj3ek2j0riNE8U+J9V1ybT30rS4o9P8lL+f7dIxLyLvxEPKG7CFTltuSSPeuU+BvjjWrjQ/BOi6zZQbb7w5DfW19HdtNLII1iVjKCgwzeYrcE980c6vYl02k2ex0V5lrlnef8Le0EaPrmqS3ZZ7rVrBrstZw2HlNHGphxtVnmUFGxvJST5iqkD02qi+boQ1y2CvWPhRZwXHh64aWCORvtTDLICfuJXk9ev/CL/kXLj/r6b/0BK4sYk4anZgv4h139mWn/AD6w/wDfsf4UjabaYP8AosP/AH7H+FXKa33TXiSpxtse+fNH7KChfiN8YQBgDXZAAO372Wvpmvmf9lH/AJKR8Yv+w9L/AOjZa+mK4sv/AIC9X+ZMdgrwv9qD/j38O/71x/KOvdK8K/ah/wCPfw7/AL1x/KOvTKPBK98/ZfH+i+Ijj+OD+T14HXv37L//AB4+ID/00h/k9AEPjmR18WamAzAeZ0z/ALIrB86T++351ueOv+Rt1P8A66D/ANBFYNe9TiuROx8zVk+d69R3nSf32/M0vnSf32/OmUVtyrsZcz7j/Ok/vt+dVtRs4NXspbS+iS7tZRh4Zl3ow68g+/P4VNXnnxu8Yal4R8M6SukloL3Wtc0/Q1vkjEhslubhImnCsCpZVY7dwK7iuQwypzlGNtVcqLlJ2TPQbZFs7eOCBRBBGoRI4xtVVHAAA6VJ5z/32/OvO5JNV+H66ToWn3114q1DU7iVoZvEN2qCCNIwzDzIodzDI4yGOXPOAAOetPj1ez6hqETeHo0tNH0Z9X1S4+1kmIRz3UMkcS7P3h3WpKk7QQxztxgyuVaWL5Zy1TPZfOk/vt+dHnSf32/OvOvhb8T7/wCIE12l74evNHWO3huY5ZbW7ijbeWzHungi3Ou0Z2bl+Yc16HVx5ZK9iJOUXZsd50n99vzpsZMKkIdoJydvFFFQ6FOU1UcVdbOwe0nZxvoO86T++35mhppNp+dvzptI3Q1o4rsJSl3PonRedHsSeSYIyf8AvkV83ePf+T4Ph/8A9g+X/wBE3FfSGif8gWw/694//QRXzf48/wCT4fAP/YOl/wDRNxXxWYfDH/EvzPqF8KPoLxx/yKOr/wDXtJ/6CaofDD/kS7D6H/0I1f8AHH/Io6t/17Sf+gmqHwv/AORL0/8A3T/6Ea+bl/yUsP8Ar0//AEpHrR/3GX+JfkzrqKKK+3PLCiiigAooooAKKKKACiiigBvXNZuszbY1jHVj+laVYGqSeZeN6KMVrRjzSPNzCr7Oi/PQq0UUV6Z8YFFFFACxsFYA/db5T+NIV25HpxRSzfeDf3gGqOpt8UPQSiiirMQooooAKKKKACiiigAooooAKKKKACiiigAooooAK0dFb99IPYVnVNY3H2WbcR8pGDWVSLlFpHbg6ip14ylsdLSEVHHIJlDKcg808da8w+3TurodRRRQMKKKKACiiigCnqn/ACD5/wDrmf5Vw/wU/wCRXn/6+W/9BWu41T/kHz/9c2/lXD/BT/kV5/8Ar5b/ANBWvisZ/wAlDhv8E/zR6VP/AHOp6r9T0PuabJ90il9ajmP7lvoa+wqT5IOfY87fQ8rn8A6W9xKzeJLdCzElcLxz/v0z/hX+k/8AQz235L/8XXmV9/x+XH/XRv51Dg+lfz7W8XsTRqSp/V1o7b/8A+yhwhRnFS59/L/gnot38I/Dd/qVhf3Gu2U15YF2tZmVd0RddrY+fuvFczD+y78N7W3eG1n02yVr6XUt1n+4cXEoCyOGSQMu4AAgHBAHHFc/z6UVz/8AEYsT/wBAy+//AIBouDqS2qfh/wAE7iH4F+ErfWrbVY9YtF1O3tfsSXWf3hhzkRsfM+cAkkbs4JJHJNUtO/Zv+H+k3WhXFlcaVazaGsyaa0USr9lWYYkCfPwGHGK5MEEcc06nLxgxUd8Mvv8A+AH+qFH/AJ+fh/wTqNM/Zt8AaO939jvNPgF1HNDJHgFAkrbpVRTJhA7csFAyQM9BWjqnwN8I61AYL7VLC6iMAttsiKcRh1dQPn4wyKwI5BUEEECuF/nS8mj/AIjDif8AoGX3/wDAD/VCl/z8/D/gna+JPgP4Q8YJGmr6zb3kUaSRbfMKKyPt3owWQB1baMhsjiq2rfs6eANfmvZdRudKupLyx/sydpIky9rkMYid/wB3IXp/dX0Fces8bTNEHUzIAzRg/MFOQCR6HafyNLLIkMbyyMEjQbmZiAoA7k1p/wARcxcnb6r/AF9xP+qNBf8ALz8P+Cd9qHwQ8JapFdxXer2M0d3Z/wBnzKyr+8t+f3Z+fp8x/OqVr+z34Jsdai1e31e2j1KOOOL7SJG3SKisqeZ+9/eFQzAM+SM9a5AMGAIOR60tZ/8AEYcQnrhl9/8AwClwfSt/E/D/AIJ3en/BHwlpM2mSWerWEEmm2R020ZEXMNsdh8pfn+7+6j/75FVbX9n/AMHWPiCbWoNdSHUZpTPLIlzIEkkKhSzJ520naAOR0A9K46ij/iMWJ/6B19//AABf6nUf+fn4f8E9S/4V7pP/AEM1r+S//F0v/CvNJx/yM1v+S/8AxdeV8+lLR/xGPE/9Ay+//gC/1No/z/h/wT6P8HaZBo+ipa292t9GrM3nLjBJPTgmt+uG+D//ACKEf/XR/wCddv3Br93yrHyzPA0sbKNnNJ29T5GvQWFqyox2i7CTfNC49jXzJ+wSpX4f+JlJzt1tx/5Bjr6cm/1LfSvmX9g3/kQvFX/Yck/9FR1db/eqXzOdn09RRRXqDPB/2oG+Xw6Pec/+gV4PXu37UTfP4bHtcH/0XXhNAH0V+zJ/yLer/wDX2v8A6AK9mrxr9mT/AJFnV/8Ar7H/AKAK9loAKKSloA84+N3/ACLlp/19L/6C9dvov/IJtP8Arkv8hXEfG7/kXLT/AK+V/wDQHrt9G/5BNp/1xX+Qr4jBf8lBiv8ADA9Sr/udP1f6F719KxfFelrrWh3Fk9ytosm3MzDIXDA9MjrjHWtk+lcd8WP+RJvR7x/+jFr6PMsc8uwdTFxV3BN272OGjRVepGk38Tt95zH/AAq+0/6GKH/v0P8A4uj/AIVfaf8AQxQ/9+h/8XXlPPrRz61+Ef8AEZMR/wBAy+//AIB9d/qbR/5+fh/wTu9Y/Z78Ma9p+sWGoX1jd2esYF/BLACtzhFQbh5n91VH4CmTfs7+GZtaTVjq0KX6mMmWJnjD7Pub1WUK+OnzA8cVw/PrQeOpNH/EYsQ/+YZff/wCv9T6X/Pz8P8AgnWXn7MPgvUNN1PTru4srrT9SuPtV1aTRl4ZJfMMhbYZCFy7FjtABJOc1a/4Z08KLb6xALuxWPV7j7ZfBYMGefC4kJ8zIYbVII6EZHNcTnnGf1pfx4pf8Rgr/wDQMvv/AOAP/U+l/wA/Pw/4J2+n/s6+FdLa1a21C1WW1umvopXQySCcxNCZC7SFifLdk5J4OKWy/Z58MaXqEV9Z39nbXcUlzIk0cOGDXEnmT8+Zzvf5iDxnmuG59f1o59f1o/4jFiF/zDL7/wDgC/1Ppf8APz8P+CdpH+zl4Vj11NYGoWxv45XnjkdWZI5HBDSIhl2qx3NlgAfmPqaZZ/s0+DbGezmgn05JrO8uL+3f7MMxTzsWmkGX6uxyfcA9hXFxTJcRiSKRZEPRlOQaJJkjaNWdVMh2oGYAscE4HqcAn8DWn/EXsVf/AHT8f+AH+qNG38T8P+Cd1/wzr4W8yylGoWsUtnc3F3BJGhRkknkMs5yJASHclmU8E4yOKq2P7Mfg3TGtDb3dqotJ0ubZHVnW3kVWVTGrSkIAHYYXA56dK5Pn1o59f1rL/iMWI/6Bl9//AAB/6n07fxPw/wCCegyfAnw9No+o6VJqlm2nah532q3MPyzecWMuf3n8RZs/Wq/hf9n3w74NtzBpGtC2gKJGI3kklVFQEKqh5SFAHYY7egrhcH1/WjLetH/EYq//AEDL7/8AgB/qdStbn/D/AIJ6t/wq+0/6GKD/AL9D/wCLpf8AhV9p/wBDFD/36H/xdeUc+tHzbc85rel4wYipUUPq61ff/gGUuD6ME5c+3l/wT6tj+4O9PqC1/wCPeP8A3RU+a/oCjP2sIz7o+Oa5dDivjZ/yRvx3/wBgK+/9J3rhv2Mv+TevDn/XS7/9KZK7r42f8kb8d/8AYCvv/Sd64T9jH/k3nw5/11uv/SmSuKX++R9H+Yj3CiiivTA+QPjAc/ErXe/74D/x1a47OOa674uNu+JGvH/p4x+grkG+6aAPtL4f/wDIh+G/+wZbf+ilrfrA+H//ACIfhv8A7Btt/wCilrfoAQ96yvFH/IA1L/r3k/8AQTWqe9ZXij/kAal/17yf+gmuDG/7tV/wv8jSn8cfU5T4L/8AIqyf9fD/AMhXfN1FcB8GP+RVk/67v/IV6B3rxuGf+RRh/Q68f/vVT1Gt3ryqX4Z2jyO3/CQQruJOPJHH/j9epT/6p/XbXy1dZ+1TH/bb+deJxZxdU4VjSlCnz87fW1rHRl2URzaUoylblPUf+FYWn/QxQ/8Afkf/ABdVbr4N6TfXdnc3GtWss9m7SW8jQjMbFSpI+f0JH415nz60c+tfm3/EY8R/0DL7/wDgHv8A+ptH/n5+H/BOrb9l3wUsV7HFLY2/2zUDqs8lvEYna7K7DMGWQFXKjBIIyCR3NXof2efDNvqWn6hHqsK39hCbeC6O4yCMnJRmMuXXPOGzzz15rhvqcUevJzTXjBibX+qr7/8AgA+D6X/Pz8P+Cdfpf7MfgnRZtFkspNMtm0aaefT/AC7YD7NJMGErL+8/iDMD9eMUtr+zR4Psbi4lhu7NPP8AO3x7GMQ83PmlYzLtQtk5KgE5Pqa5D8Tmj8aX/EYK/wD0DL7/APgD/wBT6f8Az8/D/gnb3X7OvhW+t7aGe9sZYrWyfTYVaAfu7ZzGWjH7zgEwxH1+QVLr3wB8PeJo4I9R1lJkhVlQRs8XytjKnZKNwOBwc9K4KmechkaMSAyKASu7kA9Din/xGHEv/mGX3/8AAD/U+l/z8/D/AIJ3Opfs4+EdY8z7bcabceZp0mksWtV5tHGGh+/9wgnj3PrSzfs6+FLjT4bKS7097WHTZdIji8gYWzkCCSAfvPukRJ/3yK4WSZYY2d2CIoLMzNgAAZJJ7U9WDqGDZU8gg8Gql4vYmKvLC/j/AMAX+qFHb2n4f8E663/Zl8IWuoQX8WoRR3sKogn3SF3VGZkEhMv7zaWbG/djPHFaenfAXw7pP9mfY9Ss7f8As21+xWhSAfuYfl/dj950+RfyFef/AI/rRz6mo/4jFiP+gZff/wAAf+p1L/n5+H/BOzt/2cfC9n4gudbt9WWHUbmYXE8kckqrLIECBmQTbWO1VXkdFA7Cui/4Vfaf9DFB/wB+h/8AF15Vz60nPc0f8RixH/QOvv8A+AD4OpPef4f8E9V/4Vhaf9DDD/36H/xddt4J0SLQNLlto7xb1WmMnmIAAMqoxjJ9P1r50/h65Ne1/BIZ8NXX/X03/oCV9fwz4hVeJccsDOjyqzd732+R5WP4fpZZS9tGV3e2x6NTW706m/4V+uPY+dPmn9lPj4lfGMHgjXpcj/trLX0xXzP+y3/yVf40f9h6X/0dLX0xXnYD+AvV/mTHYK8K/ag/49/Dv+/P/KOvda8L/ag/49/Dn+/cfyjr0ijwOvoD9mAf8S/Xz/01i/k1fP8AX0D+zB/yDde/67Rf+gtQBU8df8jbqf8A10H/AKCKwa3vHX/I26n/ANdB/wCgisGvoKPwI+Xq/HL1CiiitTITcB1OKz/EHh/TvFGj3Ol6vZQ6hp1yAJbedcq2CGB9iCAQRyCARgivCP2ita1qy8cQQ6Z/bk8MPhm9vvL0jVpbJbaVJ4At1KqOPOWMMcptfIJG010PiT4qeI9LtfEuoaW2k3dj4Yhs3ngvA6zap5kSSv5MgOELK4WP5G3SAqRWPOtUzdU3ZOLO9k+GPh6bT47Rra4ZI5TMszXs5mViNpIl37wCOMA45PHNXLDwLoGmtK1tpcCNLaCwlyu7zIAzvsbOdw3SyE5zkuc5rjf+Fo6jdw2EFqtjDf3niTUNBTztzrGIPtOxyoYEnEKMQCOGPTINcl4Z+LPiqPw34Js9Qu7TUda1+G+uxfwaZLKqJbtGpiMMb5Zy0oO4EALG/GcGlzRXQfJN9T2Pw34Q0vwnD5Glwy28ARY0ha4kkREXO1VDMQoGT07Y9K2q858EeLPFvirXYFvrOw0Wzt9Ps7i/sJEeS6WeaFmaIOGCqEcAZw2eRx1qjrVxqVj+0V4XtxrF82mX2i6hI+m+bttlaN7UK2wAbm+ZvmbJG4gYHWlLTQjklezPVKKKK1MgpG6UtI33TQC3JPEX7TPirwjq02jWXwn1jW7WzVIo9Qt5ZQk42L8wAt2GOexNeH+Ivjnr+pftDeGfF8vw81K01OwtZIotBaSTzrlTHKpZSYQ2AHJ4Q/dP4femhr/xJbD/AK4R/wDoIr5u8eD/AIzf8Acf8w+U/wDkC4r86zCjV0bnpzLou59UvhRVm/ag8W+JE/sq6+EWtaVbX3+jyX0sspSBW+UyEG3AwAcnJHTrSw/tIeKPA6jRrD4Wav4gtLXhNRtpZRHLnnIC27DjOOp6V9F+OV/4pHVv+vaT/wBBNUPheo/4QrT/AE2t/wChGvmZUK3+sUI+0d/ZPWy7o9df7i/8S/JnhP8Aw2B41/6Inr3/AH9n/wDkWk/4bA8a/wDREte/7/T/APyLX1JtFG0V9l9WxH/P1/cjyz5b/wCGv/Gn/REte/7+z/8AyLR/w1/40/6Ilr3/AH9n/wDkWvqTAowKPq2I/wCfr+5BqfLf/DYHjX/oiWvf9/p//kWj/hsDxr/0RLXv+/0//wAi19SbRRtFH1bEf8/X9yA+W/8AhsDxr/0RLXv+/wBP/wDItH/DYHjX/oiWvf8Af6f/AORa+pNoo2ij6tiP+fr+5AfLn/DYHjX/AKInr3/f2f8A+RaT/hsDxr/0RLXv+/0//wAi19SbRS7R6UfVsR/z9f3ID5y8G/tOeMPFnirTNJn+EmraRBdzCOS+uriVY4E6s5zbAcAHjIycDNeyM/mOzHqxzW3qjhLV8cE8CsOvYwVOdOL55XZ83m1S8owCiiivUPngooooATuKc3MadMqxGPY0lFS0XGXLddwoooqiAooooAKKKKACiiigAooooAKKKKACiiigAooooAKKKKANLSLj5jEx91rX71zVvJ5Nwj+hrpI23KCK86tHllc+vy2t7SlyvdD6KKKwPWCiiigBmaXdUckixxlnYKoGSxPSufn8XQR3htkHnSFhsYOuxlPct0GD261x18TSw1vau1y4wlP4UbOpZ/s+4/65t/KvF/AeqeKrLSZE0WwiurYykl5CMhsDI+8PavZ9S/5B1wf+mbfyrh/gt/yLM+Bn/SW/9BWvgs6ws8ZnWGhTqSg+WTut+mh62FqKlhajcVLVb/Mq/wBv/ELn/iS235j/AOOU2TXvH7IQ2jW4XHJyP/jlen1HP/qX+hrtrcP4hU5P67U27r/Ixji4X/hR/H/M+WJizTuWGH3HcPfNNHUVNef8fk/P/LRv51D36/rX8V4qnJV5rzZ+x0pXhH0Cuf8AiDd6hp3gHxLdaSJTqkOmXUtqIY/MfzliYptXB3HcBgY5roM470HDfep4Wp7CvCrKN1Fp272Y5rmi4p7nj7z+HPAfhzSL/wAGSWP27VntLQ6hKzTb4pZEU3U6KymRssBvYjDSgFgCQZR408VXd9b6La6lp32mTXpNLGrfYWZHhWwkudwj8wDeHXYcMRlTwOg9Hh8M6Pax3UcOk2MUd1/r1S3RRN1++APm6nr61YtdHsLGG3htrK3t4bdi0McMSqsZIIJUAcHBI49T619p/beE96VSg6knezlZvVaPbp22PO+rT0tKy8jxDwr8QvE2vatDrc+pWtun/CLPdyaWLdzHLcRyzozx5k+X5kUnhjtwue9dLbeKvFEjaHZ3WuaTZ3Wo6dJqrTfYG2gBYgIUUzcgM5JYnJBAwOtejHQdOZoCdPtD9nDLD+5X92GGGC8cZBOcdc0X+g6Zq0MUF9p9peQwnMcdxCsip24BHFKpneDqTT+rJK1tlpZO1tNdwWGmlbnPN/hTr174o8Y6hq2oWv2K8vfC+izywLnarNNqJJGex6j2xXnz+EdSvNF8V+ILaytdLt7WfxJ9r1CC7k+0ajGXuo0hliChSqsUcFyxXygFxuNfSa20Mdw8yxoszqqNIqgMVUkqCfQFmwO24+tI1nb/AGaSBYIvJk3F49o2tuJLZHfJJz65NbQ4nVCvKrQo2UuRW6JRVmvn0vsDwnNFKUu/4nkuqfFDUdG8Y6Dplkyz6e2pWekXqTQImxprbzRscy7mcAxtxHtwSM5BIz774q+LNB8LJ4huf7P1NLrQb7U4LC2tXiMUkCB1BYyNuBB+bgdOK9hbQdNkvVvm061a9VQouTCpkAByBuxnANWI7G2h8kxwRIYQVi2oBsB6hfT8KwWc5fFR/wBlT0Sd7a99baavcf1erdv2nocp8P8AWvEerXGprrMNubNPKksrqIxq8gYNvVkSWTABAIbPIfH8OT2fpiqOmaPp+iwvFp9ja2MbNvZLWFY1LepCgc1e/nXyuYVqeKxDq0YckXsvkdtFOnBRk7sVqafypfx/Wj9a8xRa6HRdDtN8W/HHTVmt/Bng3SdU0FZD5N1dTIHc8bsgzp3z/DVz/hP/ANpv/on2g/8Af+P/AOSq9n+EP/Inx4/56v8AzruK/uDhjDzlk+GkptXitD8TzD/eqnqz5ffx9+03tOfh7oWO/wC/j/8AkqnfsE+Z/wAID4pEqhJP7bfco6A+VHkV9Oyf6s/Svmr9hf8A5E/xj/2Hpf8A0Wle66MqeJp3m5b7nm9T6Zooor3SjwT9qH/XeG/925/nFXhVe6/tRf6zw19Ln/2lXhVAH0X+zL/yLOr/APX2P/QBXsteN/sy/wDIs6t/19j/ANAFeyUAMo9earXt7HZwl3kRD/D5jhQT6ZrI0rxRHq18sMEWMZ8wyOBtIB4UDO76jj37Vx1MVSp1I0pytKWyLjTlJcyWiOb+Nmf+Ebtf+vpf/QXrPsPEHjmO1iWHRrdoggC57jHH8dX/AI2Z/wCEdtP+vlf/AEB67jRlzpVpx/yyX+Qr86qYCrjc/wAQqVeVO0Y/DbX1uj2lWjSwcOaCldvf5Hn/APwkXj84/wCJLb/p/wDHKxPGWr+Lbvw/cx6rpkNtZMU3SKRkfMCP4j1OB0717QRXG/FjH/CFXvH8Uf8A6MWs8+yTE0csrzljJySi9Haz02eg8HioSxFNKlFarv39TwSiiiv45cXfY/XroPvNXlvxiupX8WfDvSb5o08Kanqc8WqNJN5SSuLWVraBzuG5HkH3DkOVVTnOD6lUF9Y2+pWslteW8V1byDDwzIHRhnOCDweQK9jK8WsDiVXnG6Sa81dNXXmr3Rz1qftIcqdjzm+1aLw/e22i+G9R0zQdHgs7q+a5uF863DRzKHiH7xQiqWbIBG0YA24rA0f4peKdY02bWgdPtLO2udJgaya2dpH+1wWryfPvG3abg4+U5wM+/rMvhjR7q0gtZtJsZrS3OYbeS2RkiP8AsqRhfwq41jbSeYWt4WMrrJJuQHey42sfUjauD7CvpIZzgYw97D88urlZvfXpq2u+3Q4nh6jek7LyPGdN8TeLNJsb6Jtdsr++uvFP9lRyTWT4tY2JyQnnHOABtXIAx3zxcn+JPiGHWJnNxp4jg8S2+gHR3tXFzNHIYladX39QkjTAbSvlqcnqw9UXRrBbqS6FlbC5ldZJJvJXe7KMKS2MkgdD2obRdPbUl1E2Nsb9V2C78pfNC+m/Gce2av8AtzAupzzwqenZLXTy206a9g+rVLWUzxPxBJJH+yXrDxlvNXTJsMrFTnzG71fh8O3PgnVPD9xdQW+jadN4hluoNLspGnhso10q6D7flXhmRn2qoGScck17C2m2klm1m1rCbRhtMBjBQj024xUk1vFM0TSRq7RMXQsuSrYIyPQ4JH0JpUeI1RjUpey92bm36SVkvkwlhL2d9Ul+B4Z/wunxHNpuqS2gtWYR6PcWcl3aonyXl4sDFkink42HcoLBsnnNaV58SPEun69ceHTNZ3N5Fq8lkl9HAkTPGtja3QVY5Jgu/wD0hh94/LGTt649TtfDOkWMbx22l2VvG7KzJFbooLK25SQByQwyPQ81Je6DpupwyxXmn2t3DK4lkjmgV1dwoUMQRyQABn0AFa/23lfM19UVvle9o26eT08yPq1b/n4ReGrq/vtBsp9Vhigv3jBmjgYMgb2wSP1P1Nah4qKC3jtbdIYI0ghjG1I41CqoHQADoKl9K+FxElUqynBWTb07HqQ92KTdw71Wv5J4rG4e2iWa5WNjFGzbQ7Y4BPbJ71Zpp75qsKn7eF+6/Mmrbkl6F5fiJ+0qqgJ8OtF2dv3yHj6/aad/wsb9pj/onWi/9/U/+Sa+m7X/AI90/wB0VLx9K/vPDYWo6MH7V7I/CpL3mfH/AMQvHn7Qd54B8SQa34D0iz0aXTblL24jlQtFAYmEjDFweQuT0PToa9T/AGNOP2evDg/6aXX/AKUyV3Hxt/5I147/AOwDff8ApO9cR+xp/wAm8+HP+ul1/wClMlVTpSp4tKUnLR7+pPU9uooor2xnx38V/wDkomv/APX039K5Ouo+KB/4uF4g/wCvyT+dcu33T9KAPtLwD/yInhz/ALBtt/6KWt6sHwD/AMiJ4c/7Btt/6KWtuSRY1LMwUDkk0AH8VZfif/kXtS/69pP/AEE1n3ni2G3uGgiVZpm/1R81Qjcckt/Dj3/DNXvE2T4d1H/r3k/9BNeNiMTSxGHrRpyvyp3+5m8Kcozi2rXPJfAuq+KLHSGTRtPhu7bzWJd+u7jI+8Pauj/4SLx/j/kC2/6f/F1d+DOf+EVk4/5eG/kK9AAHpXweQZJiK+W0akcZOKa2VrLyV0ezjMVCOInF0ouz31/zPMW8QePjGwbRbfH4f/F15FMxaZyy4bccj0Oa+p7jHlNx2r5auv8Aj5m/3z/OvzPxKy2rgoYd1K8ql2/itp6WR9Fw7XjVnUtBR22uR0UUV+Ccr7H3dznPiPe6hpfw/wDEl5pIY6nBp1xJbbV3HzFiYqQMHJyBxjmuJ8zwx4D8Ix6r4UutPF9eLZxtfTXTSiaOe5iiN3ON4MpXzixdjnkjcN1er7ec4rPt/DulWy3aQ6XZwpd5+0rHboonznO/A+bqevqa+qy7MqWFo+xqwbXNd2dlJaaS7pdPVnBWoynLmi+n3eh5TZ/EbxZeeOJ/CqXGn+XFqbWSa59jJWWMWMVwQIxL99WcqTnHzA44Iq54d8SeIta8X+DrqfVbeGzutEvpbmxS2YJPNHPbruGZODh+ODtG8c7sj1C10XT7CG3itbK3torfd5McMSqsWc52gDjOTnHrQdHsWltpGsrcvaljA5iXMRPUpx8ue+K9j+3sFGV4YVJWtsrvRq+3V2duhzfVqttZ6nknh34geKNU07weuoaxpOnS69ocuuyag9iVhg2LakW6qZhn/j4dixbonAHUa3wv8QTeLNeXWrhFgm1Hw3pl3JFHnYjyeazBeTwCTXoN3oOm39lFZXOn2tzZw7THbzQK0ce0YXapGBgHAx0FW1tY1maVY0ErKFLhQGIHQE+gya5sVnODq4eVOlh1GUuq005r9u1l8vMuFCpGalKd0v8AI+br7wjqV1oPjLX7WC30u3t38TLeXkUpafUkM10kcci7BgRkLtJY42ADGcV2On/EjUbXV9A0yybfYxzWOnXQltkVQ0lqspCv529mAZDkR7ecc8kevfYbf7PLB9nj8iTcZItg2vuJLZHfJJz65NVW8PaW18l6dMs/t0YCpdfZ081QBgANjIArvrcS0MXeOJocyV+XbS9rXuuhnHByj8Erdzxy4+L/AIn0mEX0yWeow3ljrc9vaQWjq8LWVykcZLeYd4ZXJYYXoMEc16D8PtW8Rap9rbWUhNtsha2mRUR2ZgfMBCSSDb90qSQfmwc4yeqXTbNWRhaQBow4QiNflDnLgccbiAT645qLS9E07RVkTT9PtdPSQ7nW1hWMMfUhQMmvMxubYPEYeVOlhlGT62W17+Wy08zanQqRmpSndIvUUUV8VZ9j07ieuabpfi74z6NJeW3gnwbpur6GJsrd3M6b2com4YMyEAdOn40/rmvavgj/AMizd/8AX23/AKAlfrfhtTdTOuVOz5XqvkfI8SO+DXqjyP8A4WN+0v8A9E60X/v6n/yTSf8ACxv2l/8AonWi/wDf1P8A5Jr6i4ptf1X9UqW/iv8AA/Lz5V/YyutSvPGXxSn1m2Sz1iXU995bx8rFMZJDIo5PAbI6np1r6sr5o/ZZ/wCSsfGj/sPTf+j5a+l6vL1bDxXr+YLYWvC/2of+Pfw5/vXH8o690rwr9qD/AI9/Dv8AvT/yjr0xnglfQf7MYP8AYutn/p4jH/jpr58r6G/ZjX/in9aP/Tyo/wDHaAM/x3/yNup/9dB/6CKwa9l1T4a6drGpXF7NcXQlmbcyoygDjHGV9qrf8Kh0n/n6vf8AvtP/AImvVp4qEYpM8OphKkpNo8jor1z/AIU/pX/P1e/99p/8TR/wp/Sv+fq9/wC+0/8Aiav63TI+p1TxebR7C4vvtstlby3nkNa/aHjBk8liC0e7GdpKqSOhwKyv+Fe+F/tum3n/AAjul/a9NRIrKb7JHvtkT7ixnGVC9gOle+/8Kf0r/n6vf++0/wDiaP8AhT+lf8/V7/32n/xNL61TD6pWPB18C+HF16TXBoWnDWZHEj6h9lTz2YLtDF8Zzt4znpxVS6+F/g+8sZbKfwvpE1pLdNfSQPZRlGuGzulIxy5yct15NfQf/Cn9K/5+r3/vtP8A4mj/AIU/pX/P1e/99p/8TR9aplfVap4tp2i2GkKRY2VvaAokZEEYT5UG1F47KOAOwrJu/hv4Uv8AxJH4hufDelXGvRsrpqclnG1wrKAFIkI3AjavfsPSvf8A/hT+lf8AP1e/99p/8TR/wp/Sv+fq9/77T/4mj61TF9UrHkdFet/8Kh0n/n6vf++0/wDia57xh4N0fwrbWsrG+uTNOsO0TIuMgnP3D6Vy4rNcNg6TrV3aK3di4ZfWqzUIq7ZwtI33TXrUfwl0iSNW+03vIz99P/iad/wqHSv+fq8/77T/AOJroWNpTipLqR9SqxOt0P8A5Ath/wBcI/8A0EV83+PP+T4PAP8A2D5f/RNxX0ta262lrFAuSkaBAW64AxXzR49/5Pg+H/8A2D5f/RNxXy+P1jH/ABL8z3FpFH0H44/5FLVv+vaT/wBBNZ/wv/5EvT/90/8AoRrQ8c/8ilq//XtJ/wCgms/4Yf8AIl2H0P8A6Ea+bl/yUsP+vT/9KR60f9xl/iX5M63aKNopaK+3PLE2ijaKWigBNoo2ilooATaKNopaKAE2ijaKWigDK1iT5I19TWTV3WJM3QXPCiqVejRVoI+LzCfPXl5BRRRW55wUUUUAFFFFABRRRQAUUUUAFFFFABRRRQAUUUUAFFFFABRRRQAUUUUAFFFFABW/p8nmWqZ645rArW0V8xsvoa5qy9257OV1OWry9zUpaSlrgPrAooooAiljWRCrruUjBB6GuJmli0/WZoPsGlyJ5i7Gd9jRZA4OIyAc89e9dw1cVqjpb6hdW09w1lbXTgs0kJKuSAPlkBwvTGGwc9K+ezbSNOa0ae+n3anTR1ujq9Q/5B1x/uN/KuI+Cv8AyLM//Xy3/oK12uo/8g2fnP7pv5VxPwV/5Fif/r5b/wBBWvIxH/I+wv8Agl+h1U/9zqeq/U9E7mkZQynPel9aaTgV9tI8w5t/hv4ekZmbTYyzHJO5v8ab/wAKz8Of9AyP/vpv8att4hZXYeT0OOtJ/wAJI3/PH9a+dlluUt3dGP8A4Cv8jp+tV/8An4/vZV/4Vr4c/wCgZH+bf40f8K18Of8AQMj/ADb/ABq1/wAJIf8Anh+tH/CRN/zxX/vql/ZmU/8APiH/AICv8g+t1/8An4/vZV/4Vn4d/wCgZH/303+NH/Cs/Dv/AEDI/wDvpv8AGuM8H/tC6L4y8UeK9Chs7uwuvDj4uJL7YkU8fmSxmWJldsoHgkB3bSMAkYZSY/A37Snhbx14Ng8TxSPoul3E8kMJ1p0tnk2HhwCxwrAqwBw2GG5VORVf2VlX/PiH/gK/yH9ar/8APx/ezt/+Fa+Hf+gZH+bf40f8Kz8O/wDQMj/76b/Gsy6+KmmabdXMWoTW2nRQtGq3F1dxIkrOjOFX59wIVGPzAZAJGQDVBvjr4T/tTQ9PXWLGS41tJH07y5wy3IRlVtjDKk7mAxnk5xnFH9lZT/z4h/4Cv8hfW6//AD8f3s6L/hWnhz/oGR/99N/jR/wrTw5/0DI/++m/xrNT4s+H5JL1F1bTmexG66UXaZhAOCX54GeMnvxSr8WPD8mnT6gmq6dJYwyeVJcpdo0aPwdpYHGeRxS/svKf+geH/gK/yD63X/5+P72aX/CtPDn/AEDI/wDvpv8AGj/hWvhz/oGR/m3+NZN38X/DmnW9vcXWs6XBBcxrLDJJexqsiMcKyknkE9xxVyb4jaVa6pDpst5ZpqEyeZFatcL5rrgncFzkjAPPsaP7Lyn/AJ8Q/wDAV/kH1qv/AM/H97LP/CtfDn/QMj/Nv8aP+Fa+HP8AoGR/m3+NVtH+JGleIGnXS7yz1FoCFlFrcLJsJzgHB46H8jWn/wAJIf8Anh+tL+zMp/58Q/8AAV/kH1uv/wA/H97K3/CtfDn/AEDI/wA2/wAaT/hWvhz/AKBkf/fTf41a/wCEkP8Azw/Wj/hI2/54j86P7Myn/nxH/wABX+QfWq//AD8f3su6To9rotqLazhWCAEkIpJ5P1rQqrp939ugEpXbzjGas7a92jCnTpqNJWitkjncnJtvcH+6fpXzV+w7/wAiz43/AOw/L/6LSvpWT/Vn6V81/sQLs8PeOUPVfEEoP/fC1yV/95pfMR9L0VXa6ijZ1aRVMa72BI+VeeT6Dg/lSWt1DfW8VxBKk0Eqh0kjYMrKRkEEdQRXpXQHhv7UX+t8N/7tz/7Srwqvdf2of9b4a/3bn/2lXhVMD6L/AGZv+RX1X/r7/wDZBXsbV49+zR/yK2qf9ff/ALIK9joAzdWsUvLGRHijkbadnmAEBsdeQcflXNeFbwTXsUZstMWVYzuuLaQ72xwWUGMZBPo3euq1KEXFhcRsrOroylUOGII6D3rl9DmjutVtYbm7AurVWMVrJB5UmdpUk84bgn7vFfNY28cZSa0v6a6+f6HTT1g7mZ8bP+Rctf8Ar6X/ANBeu40X/kE2n/XJf5CuI+N3/Iu2v/Xyv/oL13Gi/wDILsx/0xX+QrzMD/yUGK/wwOur/udP1f6F30qjqml22sWclrdRCaB8bkbvg5H6ir3GKrX119kt3l279uOM+pxX2FWEKkHCorxe6PMTcXdbmD/wrXw7/wBA2P8A76b/ABo/4Vr4d/6Bsf8A303+NW/+Ei/6Yf8Aj1J/wkX/AEw/8er5/wDsrJ/+fEP/AAFf5HT9cxH/AD8f3sq/8K08O/8AQNj/AO+m/wAaT/hWnhz/AKB0f/fTf41b/wCEi/6Yf+PVQ8QePIPDeh6hq1zbSPbWNvJcyrEQXKopYgA4GcDjJFP+ycn/AOfEP/AV/kP63iP+fj+9kn/CtfDn/QNj/wC+m/xo/wCFa+HP+gbH/wB9N/jXmes/taeFdF+B9r8UHsNUn0e4g89NNhjjN+CoZpojGXCh4ljmaQb/AJRC/JIxXorfErR01iPSXvbNNUkGVszcqJTxnhevTmqeT5St8PH/AMBX+QfW6/8Az8f3sn/4Vr4c/wCgbH/303+NH/CtfDn/AEDY/wDvpv8AGud0P44aDquj6Te3strodzqUKTw6ffajbNNtckJgxSOjBipwUZgfrxU+mfGnwvqV34jtLbVbMzeHbgWuqLJME+yyGNJAGJwMbZU5HAOV6qQF/ZOUf9A8P/AV/kT9cxH/AD8f3s3P+Fa+Hf8AoGx/99N/jR/wrXw7/wBA2P8A76b/ABrMn+Lnhy10uDUptX06HT5ywiuZLtFjkK53BSepGDnHoaluPipoNrNYwzanYRy3yq1qrXSgzhvulOfmB7Y60f2Tk/8A0Dx/8BX+Q/rmI/5+P72Xv+Fa+Hf+gbH/AN9N/jR/wrXw7/0DY/8Avpv8ao23xU0G81j+yoNUsZtTzIPscd0hmyhIcbM5ypByO2OaZF8WfDs1vdzx6vprw2bbbmQXibYSTgBjng54570f2Tk//QPH/wABX+QfXMR/z8f3s0f+Fa+Hf+gbH/303+NH/CtfDv8A0DY/++m/xp2n+MrXVrOO7smiu7WUZjmhkDow9iOtWf8AhIv+mH/j1L+ycn/58Q/8BX+QfXMR/wA/H97Kf/CtfDn/AEDo/wDvpv8AGj/hWnhz/oGxn/gTf41c/wCEiP8Azw/8eo/4SP8A6Yf+PU45Xk99KEf/AAFf5C+uYj/n4/vZtooVcDoOKfSL0pa+kjZKyOY4n42/8kZ8ef8AYBvv/Sd64X9jH/k3nw5/11uv/SmSu5+N3Pwa8eD/AKgN/wD+k71w37GX/Jvfhz/rrd/+lMledL/fI+j/ADEe4UVUbULaNVZp4wrv5SsXGC+SNo98gjHtVuvSuM+M/iT83xA8Qn/p+mH/AI8a5puldH8Rv+R+8Rf9f83/AKGa5w8g0wPtLwH/AMiL4c/7Btt/6KWtqSMSIVcBlIwQRwaxvAa/8UP4dB/6B1v/AOilrc9algcFdmLTdYu7cWWlTxs6tH5z+WY8qBtOIyByCRk966bxN/yLuonp/o0nH/ATXPa35UN1f21zcGys7wjzJJYMq2VCnbIDheB/Fz6V0PiQf8U5qQH/AD7Sf+gmvkaTapYqF9En203001+87n8UH/XQ5f4L/wDIqy/9fD/yFd+a8/8Agt/yK8o/6eH/AJCvQP4q6OGf+RRh/QrMP96qeo1owylTzXMv8N/DzuWOnR5Jyfmb/Guob1rDbxAAx/c9/wC9XqYzC4TEpLF01K211c5KdWpS/hya9Cn/AMK08Of9A6P/AL6b/Gl/4Vr4d/6Bsf8A303+NW/+Ei/6Yf8Aj1J/wkX/AEw/8ery/wCysn/58Q/8BX+Rr9cxH/Px/eyp/wAK18Of9A2P/vpv8aP+Fa+HP+gbH/303+NXP+Ej/wCmH/j1cVoHx60TxB4w8YeG0guLK/8AC5hN694oSKSOSISCWN8kMgBKknBDKeMYJpZTk72w8P8AwFf5D+t4j/n4/vZ1P/CtfDn/AEDY/wDvpv8AGj/hWvhz/oGx/wDfTf41xHgP9pbwr468FxeJwZNA06S6ntFXXXjtpN8UhRuNxGMjPJzg8gHiugk+Lml2mqX9rfCHT7a1it5Evri9gEVx53mbQgDlwQIjy6qGz8pbDYP7Jyj/AKB4f+Ar/IX1zEf8/H97Nf8A4Vr4c/6Bsf8A303+NH/CtfDn/QNj/wC+m/xrm5vj94Oh17QdHOuWLX+uxyy6dHHNvW4WMqHIcAqOWAGSMnIGSDjXX4qaA0moINTsS+no0l4BdIfs6r94vz8oHfPTFH9k5P8A9A8P/AV/kL65iP8An4/vZe/4Vr4d/wCgbH/303+NH/CtfDv/AEDY/wDvpv8AGsuP4veGprG5vY9a02SytpfImnW8QpHJjOxmBwDjnHWlvvi74b0uGzmvNY022hvEMltJJeIFmQFQWQ5+YAuvI/vCj+ycn/6B4/8AgK/yH9cxH/Px/ezT/wCFa+Hf+gbH/wB9N/jR/wAK18O/9A2P/vpv8arXXxI0ex1aHS7i/sodSmAMdm9yolfOcYU884P5UaP8SNH8QS3EemX1nqElucSra3CyFPrjp3/Kl/ZOT/8AQPD/AMBQfXMR/wA/H97LP/CtfDv/AEDY/wDvpv8AGj/hWvh3/oGx/wDfTf41b/4SL/ph/wCPUf8ACRn/AJ4f+PUv7Kyf/nxD/wABX+QfXMR/z8f3spD4a+HW/wCYZGP+BN/jWvo+h2Wg2rQWMCwRM28qpJ5IAzz9BVX/AISI/wDPHH/Aq0dOvvt0Jk27cNjGc124TA5fh58+GpRjLukkyJ4irUVpzbXmy7SNS0jdK9p7GB80fstf8lY+NH/Yem/9HS19MV8zfsssP+FtfGle/wDbsx/8jzV9INeQCdofNQSqgkZNw3BTkBiPTg8+1edgdKCv3f5iRZrwn9p8/ufDv+9P/KOvb7W6ivIVmgkWaJxlXjYMpHsRXh/7T/8Aq/Dv+9P/AOyV6Qzwavon9mUf8U3q5/6ewP8Axwf4187V9G/syj/ildVP/T7j/wAhpQB7HRRRQAUUUUAFFFFABRRRQAUUUUAN7V518Zf+QZpf/X6n/oLV6L2rzr4y/wDIM0v/AK/U/wDQWr5Dir/kUVfl+aPQy/8A3mHqd/af8e8f+6KmWobT/j3T/dFTrX0uH/gw9EcMviYjV8wePf8Ak+D4f/8AYPl/9E3FfT7V8wePf+T4PAH/AGDpf/RNxXJjvhh/iX5kS2PoPxz/AMilq/8A17Sf+gms/wCGH/Il6f8AQ/8AoRq/44/5FHV/+vaT/wBBNUPhf/yJWn/Rv/QjXzsv+Skh/wBen/6Uj1Y/7jL/ABL8mddRRRX255YUUUUAFFFFABRRRQAUlLSN900Ac5fNuvJD74qClkbdI7epJpK9WOiSPgK0uapKXmFFFFWYhRRRQAUUUUAFFFFABRRRQAUUUUAFFFFABRRRQAUUUUAFFFFABRRRQAUUUUAFXtHfFwV/vLVGp9Pk8u8j54PFZVFeLOzCS5K0H5nR0tJkUteYfchRRRQAw1w+oaakusXV/DLHamF1E8xfzS2ACRsKkDjH3cGu3rz+4WDTfEk0C6daqpVmgRbPJMg8va24eu5vTG2vnM4s401O3Lf8en4nVQvd27Hbahzp1xjn9238q86+Eetafp/h2eK5vYLeT7Qx2ySKpxtXsTXomo/8g+4zx+7b+VeUfDfwLpXibQ5Lm9id5VmZAVkZeMA9j718xnE8ZTznCywUVKfJLRuytdHoYZUnhantW0rrZX7np3/CWaN/0FLT/v8AL/jR/wAJZoxB/wCJpaZ/67L/AI1z/wDwqHw7/wA+0n/f5v8AGkb4Q+Hf+faT/v8AN/jXq/WeIeuHh/4Ezn5MH/PL7l/mOdg0jFTuBOQRSUyG1jsolt4l2xRDYq+gHAp9d8XJxTmrPqeZK13bYKKK4LxN8TrvR/GUnh3TPDF7r1zBp66ncPb3EMQSJndFCiRhubKHj6c1olck868Sfs9634iWSEXtvZ2+o63qS6rskfM+i3kyyTwArjDuIkT/AGQ7EHI5k8U/B/xrd6Xf6XpdxYR6VqV3rJurUSrEzLdBfszeYYmYImH3xptLbk+YhSrd1p/xu0HUWmuwzf2T/ZOn6rDLFHLNdOLqS5RUNvHGWGPsx5BYk78gBMtLrnx48C+HNHsdU1DXPJs7yOaaHbZzyShInCSs8axl4wjsqsXUYZgDyQK15proB57dfAPWtUuvBf24WF3b6TqWi312s0hfeLSwuIZMAryfMkQjPYE8VreHvhHrHhnUPD11FZafciz1nX5ZYVl2eTa3+ovcRyJ8hyyRlcpxycA8Zrtv+FzeDf8AhIhoR1tV1T7RFaPE0EoWKeWNZIopHKbY3dZE2q5BYsAMnijTvjR4K1W41GO31+3KWEdxNPdSJJHbBIG2zsk7KI5BGeGKMduDnFPmn2A8bh/Zu1RvhrqvhmbTbeXVLfRp9FsdWm1ieSK5jmljaTMDAiIP5KMw+bB6d67PW/hr4r0/WtcuvDQsLWwvtWsLh7ZXWJ3tIrQQyIjGNxE+8RncFJKKwBUkEdhefFjRbWx0rVDMLbRLr7U015qKS2bQJBC8rt5UkYYjEZPO3jkE10fh3xFZeKNLj1DT/tH2ZyQv2q0ltX4/2JVVgPcjB7UuaV7geHfDf9n3WfDPhG50vV49Nu7n+wr/AEuB1cyhGmvbqZACyghfLmiB+hGOK6DwR8M/EXhPWtWjmhsbuz1xLSaXVFuCt1p0kOnw2jJGpQ7xuhMitkYMr5Hrc0H9oKx13wL4y8Trol9BaeH7eXUIIpCobUrHymlguYj0CTKjbQ2CMc4pnir9oBfAGj+JLzxP4T1TSZtG0SbXVhWa3mW8hibbIsTpIfnUtHkMF/1gxnmnebdrAQfAf4Nv8Obewk1PTFh1rTNGt9BGoxarNcpdwR4ORE4AjG5dwU5K7mAOCc+xV5jrXx60jRfB3hTXm069kbxBewWEenfItxbSO+yUSDdgeUQwbBPK4GcjPp3HbpWUr3uwCiiipAlh8feGfD8f2TVPEWk6ddg7jBd3sUTgHodrMDU3/C2vBP8A0OGgf+DOD/4uuA1P9l/4eePNUu9c1jR5rjUrt900q3kyBiAB91WAHAFQf8MX/Cn/AKAVx/4MJ/8A4uuyE8XyrlgrepZ6JJ8WPBOxv+Kx0Hp/0E4P/iq8V/YjmS48P+O5InDpJ4glZXU5BBRcEV0r/sY/CkKT/YNx/wCDCf8A+LrmP2ILKLTdD8dWMC7be316SOME5IUIFHP0ArFyrPE0/axS32fkT1RuePcN4yjsPFPjTw1pE8dos8Mt7YvbJdQtIytA/wDpi+YgKqSjcEkccGvavDckcugadJDdWt9C1vGUurEBYJV2jDxgMwCHqMMeCOTXEeOzef8ACR4uZfEMWm/ZFW1/sJT/AMfBZtxfbySAEwGGzr1ycdn4TbUm8M6SdYAXVfssX2sDGPN2Df04+9mvQo6VJFHjv7UX+s8NfS5/9pV4VXuv7UX+t8N/7tz/AO0q8KrtA+jv2Z1x4U1M+t3/AOyCvYq8g/ZpH/FI6h/19n/0EV6/QBS1SRIdPnkk+4sbFuSOMc8iuT8O6SdK1S2KTxW1tMGCWg/fMxwTnzCAw4Hcmup1iFLjTbhGgW6BQ/uW6PxwK5bwrJEt5bpDaw+flhNLDZmDYm0EDnpzgYySevavmMfb67R5/lvvdHXTv7OVih8bv+Rbtf8Ar5X/ANBaun0fxBpqabaq1/bKwiUEGZcjj61zPxs/5F21/wCvpf8A0F6fp/wn0G6soJHim3PGrH96epFfKzrZhTz/ABH1Gmpe7G93b9D0oxoywcPaya1eyv28zsP+Ei0rvqFr/wB/l/xqpqWtWF5ZyRQXlvLIcYVZFY9R2BrC/wCFP6B2hmP/AG1amyfDHRdHUXkEUvnQsGXdKSAcivc+tZ7LSpQgo9XzPb7jjlTwdnyzd/T/AIJNRRRXo6nlhWJ440afxF4M17SrUoLm9sZ7aIyHC7njZRk9hk1t15RZ/HoSNHdXXhTVLXw/L4im8NJrCzQSRLcJeyWKvIgfzER7iMICFb/WKTgZIuKb1QHm+tfsweIJtL8caZZXlj/ZGq+GrwabYMdq2+tXdiLS4cnacRERLJkc77mckHIrtdZ+HvjXWPiVZ39y9rNolprkGpW8iXIiENukHlmPyli3PIWLEuzkYOBjgV0WlfHTQF8I6JrmvzxaNFqjMEkg867tY8TGJWkuBEqxgnHMgQZJ54zW1J8WPDEfiiLw99vmbU5Z2tkWOyuHhaVUZ3QTCMx7lVGJG7I2nPSteefVAeIeDf2b/Emh/C19DvF01tXXwNpnh6GZJSQl1BJcvIQ23IT97HgjqV6DArpvF/wP1rXbTxzZ2/2NY9Y17SPEdvN9paIzNaLYrLaS7Vyof7CSJATgzA4+XnvvDvxu8E+KtJvdT0vXY7mws7SK/luDBKiG3k3eXIhZBvVijAbc8qV6jFNj+OHg2azedNUuHdbsWLWQ065N4sxjEoQ23l+cP3ZD5242nOcUc077Ac74Z+D66brGi6l/ZUdgP7RvNT1K3uNRkvm86W3WEOruOpCLkDA5J6k1w8XwV+INr4d0Pw801hc6VaW2nwrFFciJLd4L15pGY+UXlBj8tUXcqqVPy5O6vW5Pi9othda4moymBLDUo9OhS0imu7idms7e5yYI4y6kCflQGwoViRu2jX8feMk8C+FrjV/sM+pzK0cNvYWzKslxNI6pHGpbABLMOT0GT2pc07qwHlFn8A9ShvNNuNtlbXC+ONa8QXF1A2Jfst3aahBEQcAlwbmDK5xhTzwKjX4R+KpPAnhLQ5NJ0q2k8J3UEkX2HUJIBqixQzQ8MqboM+asgBLYZcH+9XWf8L2g1Sz8CT+HdCu9ek8XWUt/awrPFA0CRpG0iyb2wHHmBSueCpBrMb9qLw3HDosz2V5FHdavPompeY0QOj3MU8UDrcYYjAlniG5SRtcPnbzTTmB3vw38Njwr4Wis/wCzxpkkk011LbC9e82ySyNIxMr8sSWJ9BnA4rqK4OH4uafdfF6XwBDYXcl1DYvdS6lhRbJIvks1v13GQR3EEh4xiVOc5A7ysXfqAUhO3k9KWquqabb61pd5p95H5tpdwvBMmSNyMpVhkexNT6Abp+I3hSPKt4l0dWXghr+LIP8A31R/wsjwn/0M+jf+DCL/AOKryc/sS/C5uf7Nvhn/AKfpP8aP+GJfhd/0Db7/AMDpP8a9BVMX0gvvK1On+MHj3wzefCXxrb23iLSZ5ptFvUjijvYmZ2MDgAANySa5n9k2G+uP2a9Bj065htLtpLry5riAzIv+lSZygZSeM/xCuZ+Jf7IXw48MfDvxRrFjYXkd7p+l3V1A73kjBZEiZlJGeeQK7L9jX/k3nw5/10u//SmSuanKrLFL2sbPlezv1DqUfCL6ZqHxCS9vPGvhmXW7e+mtToxhKSiVZGR2hiN2ypI4AJZUJPQ85r31eleQ2Z1mHxEi+br8msHVmaRZAf7P+xGYgAcbMCHbjHzbq9eX7or0MPs0M+MviN/yP3iL/r/m/wDQzXO10XxG/wCR+8Rf9f8AN/6Ga52u0D7S8Cc+B/Dx/wCodb/+ilrcY1h+BRjwR4eH/UOt/wD0WtbbLxSA4LWbSO41LUb+CeOy+zkC4unJl6IGI8tlIxgr90g810/iTjw3qX/XtJ/6Aa5PUo4rDVb/AMvTLZpjk28IsyTI+wFWL47txxjGMmus8S5/4RvUsjn7NJx/wE18ZR5fZ4p296zvvvqd8r80DifhHq1lYeG5EuLqGBzMx2ySBT0HrXc/8JHpf/QQtv8Av8v+NeX/AA78BaX4m0Nrq8SRpRMyApIVGABXVf8ACn/D/wDzzmz/ANdTXz2QYnO4ZbRjQoRlC2jcmm16WPQxkMI8RPmm7310/wCCdP8A8JJpmcf2hbZ/67L/AI1zm4MxIOQTwR3pn/Cn/D//ADym/wC/pplrZxafbpbQKViiG1QTnAHvX0tGtmVSVsdSjBdLO+p5VeOHil7KTb81Ymooort1OIK8F8d/A3xHrnia81fRb6zsJ9S1eW21EyEkz6JcWtrHcIMAETLJbKyc4HzA53kV3nir4pXOh+P7Lwjpnhq81/UrjS5dWc29xDCqQpKkRGZGXLFnGBwPeq3hf46aB4q05tWtmdNHGmQ35YpI92jvPNA0LW6oW3LJCyYUsS2RjjJ0jzR1QHGD4S+MNH0yex01rQ6fcazrN3LYw3Cw+ZDdTF7cmUxOyqgJ3Im0scckDBZoPwM1y18QaHd38dhPZ2lpoEM0bPuy1lBfJKQCuD81zEV+h6Yrv7z47+B9P8P22tTay40+4+07THY3DyqLdylwXiWMugjZSrllG09cU+H45eB7jW00hNfiOpGW3ha3MMoMTzxpJbiUlMR+Ysi7N5G4kqMsCBfNPsBw1r8Gtc0b4heHPEdrbadcwWOtaxNLbNKY2S1vRGyyIdpBdHiHycZ3k7uOcLRf2edWsfh3qXhq40+3uNTt/C914fs9am1ieVLvzkQMxt2G2Le0SM33iDwuQST69D8YvB02tXWl/wBtxpc2rTRyyyxSR2weFS8yCdlETOiq7MgYsoRyRhTiC4+LelM3h6a2z/Z2qXs1m9xqEc1k8Xl2k1yWSOWIGT5Yv9kYLMGO3aUpT7Acb4q+F/ii18barrXhf7Ja2NzDo8clpA8UMtytt9vEyB3icREi4tv3ijdtRlBXg1z1/wDs++IdR8KW+nTpprXMfg3xHog3yl1S7v57d4SCUyVCxPlsAjI4Oa908K+LtM8aab/aGlSXElpu2B7i0mti3AOQsqKSpBBDAYPY8VwNj+0Jpl1o/wAR9Qk0m9tv+ENtpb94Xxuv7RUmKTxHptd7a4jAPIMRzximpT7AY9v8KfE1tNrunyQWF7beIdPtbafWZbphPYSR2vkMUTZ8/I3qdw5c5x1rY+CnwxuPAscQ1HSYrO9sdOi0mO6g1aa6jnijOfkifiJc8gckbsZ70up/HdvDDanD4j8Kajo15a6Hda9BH58E8d5DbsizJG6OcOpliyGA/wBYMZ5xX1b9pTRNO+EOn+O49L1C5F4lwRoyhFuontkle7jky21TCLecNyQWQKCSwyvfasB69RRRWIBVmy8WaHoMbQ6lrGn6fcMxcR3V0kbFeBnDEHHH6VWrhdb/AGYfAfxI1u+1/W7C5k1K5dVlkju3QNtRVXgHHQAcelXTlUjJOkk35sZ6b/wsrwn/ANDPo3/gfF/8VR/wsjwn/wBDPo//AIMIv/iq8m/4Yl+F/wD0Db7/AMDpP8aP+GJfhf8A9A2+/wDA6T/Gut1MZ/IvvGc1+ylcRXvxa+Ms8EqzQS6zI6SxsGVlM8xBBHBBFdF8SoYrrxlbab4q8aeG9JeK2F3bve2bW4uIjIwaGT/TF3oCqEqw2segO1gOT/Y70W18M/ET4saRYqyWdhqRtYFZtxCJLKqgnucAV7F49kul8Qobo64mj/ZB9nOhB9xuCzCTzNnPCiLZ/DkvnPGObDpywqb7v8wWx2fhiSOfw/YPDeWeoRNCu2609QsEox95AGYBfTDH614/+1AePD3/AG3/APZK9c8IPfyeG9ObVVddRMK+d5gUPux1YL8obGM44znHFeR/tQH/AJF8f9dv/ZK9uPwoZ4PX0j+zQv8AxR+pH/p/Yf8AkNK+bq+k/wBmn/kSdQP/AFEX/wDRUdWB67RRRQAUUUUAFIzbRntS0yT/AFbfQ0Ac4/xE8PxsytqADKcEeU//AMTTf+FjeHv+gl/5Bf8A+JrxS8/4+p/99v51FXqLBxtueK8dU7I9x/4WN4e/6CX/AJBf/wCJo/4WN4e/6CX/AJBf/wCJrw6in9TXcX16p2R7h/wsbw9/0Ev/ACE//wATXJfEDXtJ8UWdnFZ6lEGhuVlbzEkA2gEcfL7155UF5e22m2stzdzxWttCpeSaZwiIo6lieAPc1wY7JqGPw7w9Zvle/wCZrSzKtSmpxSuj3SH4ieHo41H9ogkD/nlJ/wDE0/8A4WN4e/6CX/kJ/wD4mvDY5UmRXRg6MAQynIIPQ06uyOBhGKinsZvHVL7I9x/4WN4e/wCgkP8Av0//AMTXz54yv4739rjwT4igWaXRLaxlSa+WBzHG3lTDDHbwcsB+IrSorKtltOtFRcmrNP7hfXqnZHrPizxxomo+G9Stre+Ek8kDoieU/LFSAOnrVXwH4y0fSPCtja3d55M6KdyGNzjk+grzCiuB5FSeYLH875lFxt0s2nf8Do/tSaoujyre57h/wsbw9/0Esf8AbJ//AImpLfx/oV1cRwxX4eWRgir5TjJJwB0rwutDw5/yMGl/9fMf/oQr1ZYSMU3cwjjajaVkfRFFJ6UteYe0FFFFABRRRQAyo7p/Lt3b0BqWqeqSbbOTH0qoq7SMa0uWnKXZGCtLRRXrHwAUUUUAFFFFABRRRQAUUUUAFFFFABRRRQAUUUUAFFFFABRRRQAUUUUAFFFFABRRRQAU+H5ZUb0YUygcNmk9i6btNM6le2etOqKJt0akdxUi15B+gRd1cWiiigognwsLkkqMZyvX8K4O31GXUrtWj1O4tbRXxm4UGSXnsu35R9efYV3/AN4Vyt94qbT7y5he2QpGxjjkEgyzBA+GGOBjPPsPWvnM2jT/AHc6s+WKfnr16HVRvqoq7Og1H/kG3A/6Zt/KuJ+Cv/IsT/8AXy3/AKCtdPb6kdU0KadkCOPNjZQcjcjMpwfTK1zHwV/5Fif/AK+W/wDQVrx61SNXPMLUjs4St+B1QvHCVE+6/U9Eprcrx1pe5pa+7PLOWfR7xpGPk8Z4+cU3+xrz/niP++x/jXUecn95fzo85P7y/nXn/V6XcDl/7GvP+eP/AI+P8a838VfCXxrdePbjxL4a1zS9Ja60ldLmh1HTXuyu2V3EiMtxGAfn6MGHH4V7f5yf3h+dHnJ/eX86caNKOqYtD5uuP2ZdZ0ncvhrxDLp0B0rSdIeOXess0FnJfO4M0MsbqZDejlCpUxfxBiB5F8SvgT428Iy6XpljBea0sGiX6GaDT7y8g1ia5vPPaxmaOcywKDHFmaeVgwlPI2ybvu7zk/vL+dHnp/fX860UIdxng8vwH1K/h1+WS7S1l1rxFpHiFoljDC3+xvZMYM7hu3fYyN3GPM6HHPNWP7L/AIgaPRNN1fU9I1fw/wCG7O9tNGs5tNcGUTwtAFvh9o2zosbFWVVTfnPymvpzzY/74/MUvnIf4h+dHs4bJisfOdv+zjr83hey0zVdZt9Z+yzXrJb6lDLdW3kXFs8Atj5k5leNQ5JLyFjkjIGMbui/B3xTZ/C3WvC134heW8vxcR29+Glmayhl4EavNM8khUFsOz5yewAFe3+cn98D8aTzk/vD86TpQ6sLHzhffsr3Vvp+tWOia3NZWWp+FZfDJt7qGOZIQFK20iBSmFiDyjyxgEMACuOTx5+zn4q+KXhfxTY+JvEGnHUtV0K50GzuNM0wwwWcc5VpJGjed2kYmOP+NRheBkk19H+dH/fX8xTvOT+8v50ezp9xnzdcfsu3t14p8Q6pJrRktLqeKXSLFrdQulq15Dd3qghx5nny28PXGwRjHVs+0/2Lef8APH/x8f411HnJ/eX86POT+8v51MqNOW7A5f8Asa8/54j/AL7H+NH9jXn/ADw/8eH+NdP5yf31/Ojzk/vr+dT9XpdwKekwSWtmElTa+ScZzWhTVIbkHIp1dsUoxSQDJP8AVn6V83fsX/8AHn8Rf+xim/lX0i/3D9K+bP2NOJPiao6DxDJj/wAerz63+80vmLqjpvjdNdWvijT5raS1hP2M7pNLnkj111D52wqGWN48leJDjJOASa9Z8MPJJ4d015DdtI1tGWa/QJcE7RkyKOA/qBxnNcF4g1DU9O+J0tvH4hjgF9bW8dvanSLi4SD5peXkVhGhc8AkgttAxxk9x4MaNvCejGHUZNXiNnEU1CbO+4GwYkbPOW68+ta0f4s2M8f/AGov9b4b+lx/7SrwuvdP2ov9d4c+lx/OOvC67gPpX9m0EeDLz/r8b/0Fa9ZavKP2bf8AkR7o/wDT4/8A6CtesEZoAxPEl8lhpryu86AEAfZV3OT6cjH51j+GJZ7jUVmuNSkO9TsseGx7s20ZP04+vWum1Kc2djcTgeYYkZwvrgZxXMp4zbz44BaxrccvIvnBlCDZyCByfnHH1r5fHezp4uFWrOyVrLXuddPmlBqK/Iy/jb/yLtr6faV/9Beu50T/AJBdn/1xX+QrhfjVz4bsz/08r/6A9dzov/IJtP8Arkv8hXn4H/koMV/hgdVX/c6fq/0NCqOqQvcWMkaLudscZ9xV6mswXqcV9rJKSaZ5Ry/9j3n/ADx/8eH+NH9j3n/PH/x4f410/mJ/eH50eYn94fnXD9WpdxWOX/sW8/55f+PD/GvHdN/Z58ULCdG1LxBYXHhNfE1x4mSztdOaK7eR9TfUYoZJ2nZSiTOudsalggGRk5+ivMX+8Pzpd6/3h+dXGjTjswsfInjL9jjxR4k+Ftv4FtvGr2mmLpM2nSDZcRx+ZJJIxm8uG5jEnyuF2Sl0+TO3k1X8G+CvGtp8ZLjztN1G609tc1G4SyvNPuI4dPSYSj7Wl2ZBbylg2AgUsBKRwdzV9heYvqPzpfMX1q+Sna1wsfLcP7JOpWvh3SNPh16L7RpfhPSfDsM0lkGjaawnWZLhk83lWZQDHnOM/NzU+vfs5+NvE1xeaxqOt6KPE1xLG8V9Y2NzafYBFBJHEYGjuxJvzNMXLOyurBCoAzX055i+o/OjzF9R+dL2cO4WPm3Wv2bfEd9pmu/Ztet113VNTi1OPWHhlins5V022si8ZhnQ7ibYyFSdjB9jKQMnr/GXwf1jxlb+E7S5127trXR7pL27ktisdxfSxxMsZLKQqgSN5pXaQSi9MV7GZV/vUeYv94fnS9lDuM+arX9mnxP4X1rSb/wz4ltYk0q/1S7tYdcsGvAEv/LkmQtHNESfPWaQHsJduPlFJof7JMFpo95Y6rdDVG1k6zPr0ixeUL641IRiZ0G8+UqiMKqgkgBckkFj9LeYv94fnS71/vD86PZw7geBfD39n3VfBupeGtU1DWf7a1iwtdQTUr5rdYn1K5untmac4Y7NotgoX5uCoBAUCvVf7HvP+eP/AI8P8a6fzF9R+dHmL/eH51Lo0pO7YrHL/wBi3f8Azx/8eH+NH9jXn/PL/wAeFdR5i/3h+dLvX+8KX1en3GKv3R2paKK9ADiPjZ/yRzx3/wBgK+/9J3rh/wBjX/k3nw5/10uv/SmSu4+Nn/JG/Hf/AGAr7/0neuB/ZBWZ/wBm/QRbusU5N4I5HXcqt9olwSMjIz2yK8qX++L/AAsCto0l5a/FeWOOVooJdSlxD4TkMlqRuJdr6OR9qSE43NGhOc5bmvfF6c1454Y1a8murjSrvxesj6fqayXP2fSp4ml826kEaLMzFWQsjRnaGC7SpPGa9kX7orow2zaA+M/iP/yP3iH/AK/5v/QzXNt0ro/iN/yP/iL/AK/5v/QzXON0rtA+1fA//Ik6B/2D7f8A9FrWvI21WJOBjqOtZPgtSvg3QV9LCAf+Q1rYZeuamWqsB57HqE2pXH7rU7mytFP+snAMsnsF2/KPc8+3eur8Sf8AItalg5/0aT/0E1m3XiZrK6uont4vLjbZE5mALNtBAZccAk4z+lTajfNfeFNTd0VHWCVGCklchT0OORXxtGVGnSxFNTvJpt79n3O98zlB2srmJ8F/+RVk/wCvh/5Cu+xXA/Bf/kV5P+u7/wAhXf12cMf8ijD+gY//AHqp6iVzDaNebjiLIz/eH+NdTTfMX+9+te/Vpxn8TOA5j+x7z/nj/wCPD/Gj+x7z/nj/AOPD/Gun8xP7w/OjzE/vD865/q1LuKx4X42+D3jHUviVZ+MfDGt6XpN3Dos2jPBqemveKVkmSUSLsuIsEGMDByOawrD9mDVfCvh+60/wv4im0+4m0+0szeXClppGS/mu7qRnjdGUz/aJVPllCm/KkYAH0j5i+o/OjzF/vD860VOmtmFj4h8ZfAXxd4D03RtIttQ1KeKRNYku9S0/S77UftH2y685rVxFM068NjznlJO3OQ3Nen6D+z5rF1o+t3V5LDpF54h1DQtYl0+GIMmntYx2W63B3/OCbQgNxjeOGxz9H+YvqPzo8xfUfnVezh3Cx806h+zT4i1q8s7HUdV0q78LaZrN7rtjYyacxmknuUu1MVy/n7ZIQbyTKhFLqApI5Jl039m3xDDZ6JFe69HdppOqT39rZXKzXUEUUmnXFmLcNNcNKU3XBkOXPA2KFGCPpHzE9RR5i+o/Ol7OHcZ4f4D+EfjLwb4H8Q6K3iKO4vLuWZtFlkjkmi0iNoESOL99M8kyrIryYZxw+wbVUY4y/wD2O/s+lNZaN4gvrUS+FL7wlcNfLHcCW2niAjfC7DujlBcZPPmSjgvmvqPzF9R+dHmL2YUvZQ3uB87eIP2ffFHjuPUpvFGv6fcahJoN9oNg2l6a1vBbR3XlGWVkeeRnfMEX8SgAEY5zVLUP2T57q48ceTq5hs/EWi3Wn21m0CmPT7q5t0hurlQGG4S+TC5Tj5hIc5c19LeYv94fnS71/vD86fsodxWOX/se8/54/wDjw/xpP7HvP+eX/jw/xrqPMX+8Pzo8xf7w/Osvq9LuFjmP7FvP+eP/AI8P8a19EtZLS1dJVwxcnHHoK0PMX1H50qsG6HNa06MISvFjHUlLTf8ACut7AfMn7LX/ACWD41f9hub/ANHzV1vxsM1v4lsLq3+xwFbXEk2m3Dx666hmKpCAyo8e7nbIxXO7jNcl+yz/AMli+NX/AGG5v/SiavStcvtV034nNbp4jt4W1O1hitLE6VNc+VsM7FnZXCx7+QCxG/yyAPkrw6P+7Jeb/MlbHb+D5Jp/C+mPcNfNM1uhc6nGsdyWxz5ir8ob1A4ryL9qD73h/wD7bf8Aslev+FWVvD9iwvZNQUxg/aZVKvIe5IPIOeMHkYwea8f/AGn/APWaB9Jv/ZK9qPwoo8Jr6T/Zp/5EfUP+wi//AKKjr5sr6U/Zn/5EnUP+wi//AKKiqwPXKKKKACiiigBG6UyX/Vt9D/Knt0pkv+rb6f0prcT2PnC7/wCPqb/fb+dRVLd/8fU3++386ir6OOyPlXuFFFFMkK8r+LMdkfHXgiXxJZNe+DoVvpJhJCJraLUNsX2WSZMHgR/awpwQHZeh2mu4bxz4cj8RNoDa/pi66pAOmG8jFyMqGH7vO7lSD06EGts4bjqPzqJWkrFxbi72PB9X8Q6fohurDw/qVx4S8OQaW1zo1vo2mbI7m5M0/mqEMRDfMqkIAM788hs1HqWv/EGHRfG+sJcXYvbbU9NsLTTXjWKC3glt7BrqUOInY7TNcfPh9m1jtbbtr3tmSNS7sqqvJZjgD3zS9OelZ8j7miqJdDhPg7eeIb7w7eS+ILyyvibtvsctndvckQbV4kkaCDcwbf0QcbeSc13lJwOAMCsnSfGGha9qF7YaZrWn6hfWR23Vra3SSSwHJGHVSSpyCOfQ+lar3VYyd5Nuxr0UUVRIVoeHP+Rg0v8A6+Y//QhWfV7Qd39t6eEOH+0R7T77hioqfCy6fxI+iPTFLn1r5iuvBv7Tpupjb+OtAWAuxjVoYchc8D/j09Ki/wCEL/aj/wCh98P/APfiH/5Er4r63K9vZS+5f5n1J9Q596M+9fL3/CE/tR/9D54f/wC/EP8A8iUf8IT+1H/0Pnh//vxD/wDIlH1uf/PqX3f8ED6hz70Z96+Xv+EJ/aj/AOh88P8A/fiH/wCRKP8AhCf2o/8AofPD/wD34h/+RKPrc/8An1L7v+CB9Qc1n6sx+zgep5r5v/4Qn9qPP/I+eH/+/EP/AMiV6H8MNG+JOj6fqC/EfXbHW7mSVPshsY0VY1AO7O2KPJJI6g9K6sLXlUqqLg15s48ZLloSO1ooor6E+HCiiigAooooAKKKKACiiigAooooAKKKKACiiigAooooAKKKKACiiigAooooAKKKKACiiigDorNt1tGfap+4qrprbrSP6YqzXky3Z9/Rd6cX5D6KKKk2I2Ydc1w3iCx1GbVmlAxbFtiLFbRyMcBSNxIJAPzjPAGBXZ3QT7PIHzs2nODg4x61xSteskeqSRRiyYK/2dZ5fNCcYJO7aWx/Dj8e9fNZvJSUaTv30fRd/I6qF4tyR1d1BHa6TLHEixxrE2FAwBxXHfBT/kWZ/wDr5b/0Fa7fUP8AkG3H/XNv5V414D8Q69pGkSRabpP2+3MpbzMnhsDI/T9a+ZzfHUctzjCVKifLySXupvquiPQw1GVfC1FG17rd279z3Gmv9015t/wnHi7/AKFz+f8AjSf8Jx4ubj/hHP5/416kuLMDa3LP/wAAl/kYf2fW7x+9Hmd9e3P2y4AuJQPMb+M+tRfb7r/n5l/77NMndpJ5Wddjs5LL6HPSo6+LlXlN8ybszw5JxbTJvt1z/wA/Ev8A32aPt1z/AM/Ev/fZqGjmj2k+7ETfbrr/AJ+Jf++zVHXlvtW0W/sYNUutPnubeSFLuCQ+ZCzKVDr7qTkfSrGew60hYeuKqNSpFqSbDU8S0Pxl4w+KVjBHZ6pcaTrGj6Jd22oxx3TxQ/2yXa22sVJyqNBOy5zxLG2MgVy3xI8Vyw/CPxUdL1Xxd4e8T+GtVsbS7hm8R3czRNcT2o4lEpEkbwyZXJyu48Ka97XwToca60E0y3T+2pPN1Dau03L7Am5sd9qgZ9s9arL8N/DS+HrrQ/7Gt20u7mW5uIZMt58qsrCR2JLOwMaHcST8i+gr2I49Rasmkmn/AJ379R3PN/Hmp618P9ek0DT/ABDq32XxVpaadpbXWpz3E9perchJZI3kZmLmG78wc5Asz2HEvwt8UeKPHkw0+68Tahay+HdGOialdWkqu0+qicxzTHeGXcotVdcp0um+lepa1oukapd6RcanBBLcWN159g8xwY5yjpleeW2O4+hNMXwfo8UOsRxWKW41iUzXzQM0bTuUVSxZSDnaoGQe1R9fvBJr3u/9eX4iucN+yv4u1vxP8BfC2pavrF7qmpTC5Et3dTs8sm25lUFifQAD8K9Z+33X/PzL/wB9muU8A+E/Dng/QI7Twrbw22kSMZI1tpmliyTyUJYgDOenet5ruGO4S3aaNZ3VnSIsN7KMZIHcDIz9RXn16spVJSjezdwLn265/wCfiX/vs0fbrn/n4l/77NQ0Vz+0n3Am+3XP/PxL/wB9mj7dc/8APxL/AN/DUNFP2s+7A9z+FMjzeEYmd2dvMfljk9a7LPtXyvZ/Fj4o+HVlsPDfw5/trSYZD5V8zt+9zgkjBGOcj8Ktf8L3+N//AEST/wAef/Gv0vA42EcPCMk727M6U9D6bkPymvm39jb5bj4nqeCPEMmfblqqt8d/jdtP/FpB/wB9v/jTP2Ibi5vl+I1xe2/2S8l1nzJoB/yykIcsv4EkfhVvERrYmny30vurdA6nY/Fq6267bvLDq9nqUriK2tdD1SL7RqKRsXXEBRiMZyXAUqDy4FeteFrVNP8ADmmW0Vi2mxxW0aLZO4doAFAEZYEgkdM57VyEvgfwto/ii5lOt3Wna3rMjSmP+1Ck0/JO1ATuKLk4UcL0AFd1pixLp9usFw11EI1CTNJ5hcY4Yt/FnrnvXo0abjOUn1GeH/tRf67w5/u3H8468Mr3T9qD/j48N/7tx/OOvC67APpn9nBQPAtwfW8f/wBBWvVm6V5b+zn/AMk/c463kn8lr1OgCnetIlrM0Cq8wQlFY4BbHANcbpOlzrrkCzq9xCymVlazjSNOMjDBc5B425z+XPReI7hrezURIJbiSQRxq0hjXce5I5xjNZWixzafqkEN9skkmVvJlhmkK5AyVKsx5xkg+x6V8tj+Spi6UHfRq+um+zOuleMG11Mf42fL4btcf8/K/wDoL13GjZ/su05/5ZL/ACFcR8bP+Rbtf+vpf/QXqnY+PPEcNpDHH4bkdFVVU7m5GOvSvmJ5ph8rz/EOvzaxjayb/JM9SOGqYjBw5LaN7tLt3PUa5T4mSPD4Lv3R2RgY8Mpwf9YtYX/CwvEv/QsSf99N/hWN4s8X63q3h+5trzQZLO3YpunLHC4cEdvUAfjXp4jijA1qMoQU7tWXuyW/nY4ZZfWjFydtPNf5nCf2hdf8/Ev/AH8NH9oXX/PxL/38NQUV8h7Sp3Z4hY/tC6/5+Zv+/ho/tC6/5+Zv+/hqvSbqftandgWP7Quv+fmb/v4a4/4k+JNV8PWuiavBqF1HaWuqQJexrLhZIZSYTuyeitKj+23NdRu6VU1nR7PxBpN5pmo20d5YXkTQTwSjKyIwIKn6jNb0qs4zTlewHi2sa74o13SD41TUNZvfB73N9dyWOm6zLZT/AGRFRLa4gdSu9CsMsnl7lDC5VuSoqx53/CVfGbw+tl4l8THw/q/huXWVgh169hR382ERuFEo2jbIflGBz0r0m/8Ahz4a1TS9N0240iB7HTYBaWsC7kWOEKF8rCkZQhFBQ5U7RxxWmPD+nf2tBqgs4RqFvbtaRXCr8yRMysyD2JVT+FehLHO3u3W6+T2Hc8Kl+LPiDTbzw5aS+IpmbwtqssHiUfbG3NC9ytpbNPuPAdZhcDceViYg8Vf8a+LPFU3wy0DxVZ+LtXsUvfEdrLFDayqsdzZ3GoRJErMQX2+TyArKD5p3AjAr1CXwN4XvtQ8Uxvp9nLeeILaKLWUzl7mERvFH5gznG3zFB46H0qDxN8O/CWtaPpen6xp8C6Xp/lxWcHnvBFHgoI1AVgCQUTbnoQMVf16PNHRrv+Yrna/2hdf8/M3/AH2aX+0Lr/n5m/7+GqdvClrBHBENqRqEVSxJAHAGTyePWm215BeCQ288U4jkaJ/LcNtcHBU46EeleNzz6NgXv7Quv+fmb/v4aP7Quv8An5m/7+Gq9FT7Sp3YFj+0Lr/n5m/7+Gj+0Lr/AJ+Zv+/hqvUGoXEtrY3M8EDXU0cbOkCkAyMBkKCemTxVwqz51qwPqmP/AFY+lPwK+YP+GkPiuvH/AApu8GOP9dIf12Uf8NJ/Ff8A6I3ef9/pP/iK/U4Y6kopa/czque0/G3/AJI347/7AV9/6TvXn/7Ic0tv+zdoMkEP2iZWuysW8JuP2mTjJ4FebfET4/8AxL1rwD4k0+/+FF1ptjd6bcwT3jSuRBG0TK0h+T+EEn8K9D/ZN0yLWf2Z9EsZnmjhuPtkbSW8rRSKDcScq6kFT7g5rCFaNfFXh/K99Oouo3R7G0k+LTeRp2tXMzzI99Z2mpRzWFg6yPKrSkKCG8yaR/K3nJkzswAR76tee+E/C/hbw3MNN0fXZI102REk0+PUgVidydqugPBY568sa9DX7or0qEHBO/UZ8ZfEb/kfvEX/AF/z/wDoZrnevFdF8Rv+R+8Q/wDX/N/6Ga52usD7Y8Irt8KaMvpZQj/yGtardKz/AA6u3w7pYxjFrEMf8AFXZmCxsW6BSTUSdk2Bw3iaz1CW6uLiIMQH8uKKK1jkL4UEEswJGSSM9Bjp69BrlvHa+FdQjiQRoLWTCqMAfKa5+Y3f2c6rOkP2AIJGhjuJRIsQH3s5wSBzjH410/iAA+HdQ/69pP8A0E18dR5Z08TUXWPXs09fQ7m3eEezOV+DH/IrSf8AXw38hXoG3868Q8CeKdY0XRmhsdGe/hMhbzQT1IGRwK6X/hYXiX/oWZP++2/wr57IOJcFhsto0ZqV4qztFtfekeljMBWniJyVrN91/mejt3+lfNNzf3X2mX/SZvvn/lofWvT/APhYHiUgj/hGJMf7zf4V5PIxeaRmXaxYkr6c1pmWd4fMeWOH5k1vdNfmjxsVhalCKcrfJp/kTf2hdf8APzN/38NH9oXX/PzN/wB/DVeivF9pPu/vPNJ/7Quv+fib/v4aX+0Lr/n5m/7+Gq9FHtKnRsYmoTXd9p9zbC+uYTNG0YkimZHTIxlWBBB9xzXiFj428ZfEjRYPD+h6/c6V4g07QbkaleSNIuy9LyWkGc88yQXT5wcGNT3GfcOa5/8A4QHw55esoNFsvL1mYXGoDyh/pMgxh29xgEHsRkc5NdtDEypJ82r6fr+AXPMdUmnvPAOrqb7xZoesaLewwzRN4mvJCrSmAnbKs2ZEKOCN33SxwASaueONe1f4dX15pVhrusGPWNF+zaQ13fy3TQ35ukgVt0rM+S99BySRhPRa9EsfA+habpNxptvp0KWlxKJp1Yl2mkBUhndiWYjavJJ4UelO8RaDoGsXmiza1bWc9zZ3gm017rbvjuNrY8vP8W3PA9M9uOr68+ZXu46vf0/ULnm3hHxzqnjRYrbWPEWpaVFoOiONduI737MPtAupIHZnB4A+w3PzgggPkEHBHV/BHUdam8LXl3c6nqV3pV5fy3OjnUp5ZLlbFtvlh3kO85IZ13chXUHpWjffDHwrqGl6/p1xoVpJZa/P9p1SHYVF3IdvzPg8n5R+OT3NaPhfQtK8P6e8WkZ+ySSNIWa5e4+YYU/M7Mf4egOOD71nWxXPCSjdXtoO50H9oXX/AD8zf9/DR/aF1/z8zf8Afw1Sa6hS5jt2ljW4kRpEhLDeyqVDMB1IBZcntuHqKlrzPaVF1YtSx/aF1/z8zf8Afw0f2hdf8/M3/fw1Xoo9rPuw1LH9oXX/AD8zf9/DXsPwdmkm8N3LSSNI32phljn+BK8WqGw+MnjzwVJe6b4f+HNz4j09Zt636SsA7FE3DCqcYPHWvdyfEOnib1G2rPuy4PU+rKRvWvmD/hpL4rf9EbvP+/0n/wARR/w0l8V/+iOXn/f2T/4ivu/7Qpef3M2uO/ZbbHxk+NS9/wC2pT/5MTV1nxiYtqtncSW+sabqhZorJtAv4Rd3yqrgARNG+dokchiBs3kllBNeefsZ6ld618RPinqF9Ztp17dX3nz2bZJgkaWUsn4EkfhXtz/D/wALaT4quLz+17zT9c1yRm51NlmuMDJSME7tqjnYvC+grkw0XVw0bd3+YR2Os8J24tfDunRfYJNL2wJ/oc0gkkhOMlWcE7m9Tk5OeTXjv7Tzf6ToI77Jf5rXt+krD/Z1sLe5a8g8tSlw0nmGRSOG3fxZHevDf2nm/wBO0Mf9MpD+or3IqySGeH19Kfsz/wDIk6h/2EX/APRUVfNdfSn7M/8AyI9//wBhF/8A0VFVAeuUUUUAFFFFACN0pkv+rb6f0p7dKbJ/q2+lMT2Pm+8/4+p/99v51FUt5/x9z/77fzqKvoYvRHyr3Cj0ooqrknz54k8I6/N4+8TapLFc3HhmPxVpd3JpcNgxmuwlpaIJ45QSSkcgDMqr/wAsnBbGRU1m/iS68cadFaDxHFrieINQOrS363Sab/ZQW5WDyycW7HmzKhMuG3E/x177RXPy6m/tXa1j5nkPiXx58ONS0K9tfEzXUXgQW96s1vdWrTaoo+ZVchfNYsMEqSHBxlgSK0/GUPiS58SW1rot5rmnaZNpWnnw/fSw6lMYrkTSmX7UixsSSPs4cXO0FCRkHeR9C0m0dafL5jVS2ljh/hjpN5CNc1PU5tUe+utRuIwl/PKUSBJnEIjjJ2qu0jBVRuGCSa5X4b6laeMvilqPiJ9I1bRpbWwfStNs77RbyzC2wmDSSs8kaxkyOEKoCSFXPUsB7FxRtFXyonm3v1Foooq7oxCtDw7/AMjBpn/XzH/6EKz60PDn/Iwab/18x/8AoQpSfus0p/Ej6HpaSlr50+pCiiigAooooARulY2st+9jHsTWz/FWHrDf6So9BW1H4zzMxdqDKNFFFekfGhRRRQAUUUUAFFFFABRRRQAUUUUAFFFFABRRRQAUUUUAFFFFABRRRQAUUUUAFFFFABRRRQBuaX/x5p9SP1q6O1UdFbda/wDAjV7tXkz+Jn3mGd6MPQdRRRUnSVbyN5rd0jcIzDAYruA/CuMXQbXS5M3Oiw3MCEZnsxnZju0ZOeP9ncfau5b7orhBpM0moXkMbXt1B548wtdhAflU4xjJGPp6V85mkYxdOfLdt2/pWOqj1V7HW3Uq3GkSyJnY0RI3KQenoelcX8Fv+RYn/wCvpv5LXcaiNumT/wDXNv5VxPwV/wCRXm/6+W/9BWvJxKvnuFv/ACS/Q6qf+6VPVfqehYHPFNkA2njtTxSMu5SDX2soKUbWPLPmG+5vrj/ro386g/Cve5Phj4cmkZ2sGLMck+fJ/wDFU3/hVvhr/nwb/v8Ayf8AxVfAz4fxEpN8yMPZs8G/CuA+L11ceGbXQ/F0NxLDa6Ffo+pxq7CNrCXEVw7qOCIgyz5I4EB9a+uP+FW+Gv8AoHn/AL/yf/FVHN8KfDFxC8Uum+ZG42sjTSEMD1BG7kVdPIcRTmpNpofIz8//ABRaXdz4Rs/F2pX1tqEdzNfaxL4e1LV3sBPCyqLc28oI2SwxRxhTwu52bKk7hsx+HdJ8SfGrwlfwya7BZat4du9cNnNq15EPOWex8ovCJdqlVmcFMbfmOQa+3rn4LeC75YRcaFDOIf8AViVnbZ9MnjpVj/hU/hfzllOmfvVUqH86TIBxkA7unA/IV3LK8RFaNX1/Hb7h8jPzp/tnW9FvLOS51XUIofhbdtHqPmSb1vLKa48tZJ8H5zFp7LNk/NvOcZFaXjCztbr4V6NFf3V1D498QPc3mlM+rTWa6dNcS+Y1ySJAAlssigEgsQojX/WEH9AW+EPhSRZVbSVYTcSBpXO/jHzfNzxxSXHwc8IXmwT6LFOEGE8x3baPQZbir/syveLSSt/X53DkZ8deLPEk0/iyW4tLGbX4PCGknUjHap5j3l9OrJBEgVSQwjWVmwOBcRNjFcj4N8YahZ6L8RVi1DVbvXpLy1jiudQ066tVW6uYIkXyo50G1VkORGOwUnO7cfufR/gb4N0GTUZLPSmjk1C5N3cu11MxeQqqDq/ACoigDgBQBSan8CvBesXWm3F1pHmS2N2L2HFxKB5wjeMMw3fNgSMRnoQp6gVEcpqRTi0mtPw17dw5GfD/AIu0Ow+G/iLw3ewzrqdhp39k6Nb6HDrN1b3MH78RLKkKSbJ8eZGzJInzKjZbAwe98L3/APbvjrxL4huplh0vTpF8P6aXbajMrK1zICTglp2WHHrbcfeNfVsnwW8GTXq3j6HC92vC3DO5kH0bdmquifArwV4f0WDS7PR9tlCdyxtcSMS27fuJLctu+bJ5zz1qKmUV6kdWuba/kLkZ4ouo2kkixLcwtIztEqCQZLqMsoHqAMkdqsfhXua/CXwsjKRpagqxdSJZOGIwSPm6kZqb/hVvhr/oHn/v/J/8VXnvh2v0kifZs8G20fhXvX/CrPDf/QPP/f8Ak/8AiqP+FW+G/wDoHt/3/k/+Kpf6vYj+ZD9m+5X+Ev8AyJ8PH/LWT/0Ku0rO0fRrTQrMWllD5UCkkLuLcnrySTWjX3OFpOjRjTlukbiN90181/sfHbrvxZj/ALviGTn/AIFJ/hX0q33TXzT+yF/yM3xc/wCxhf8A9Dlrnr/7xS+YHf8AxMMtj4lhvYr7+xkaGFpdQu9Ie6tl8uR2UGVGHlEbjnzCF+YY5zXd+C7Kz0vwlo1np1z9tsILOGKC5DBhLGEAVgRwcgA8etcZ4t0iDxN4pNtcjTL64sYFmax1C6uPs6o7yLG5hH7pmwh5IJBHYYrt/C+oQat4d0u9tjEbe4to5YzbqyxlWUEbQwBAweMgGt6f8STA8b/ai/4+vDn+5cfzjrwyvdP2oP8Aj48OdvluP5x15zrGrXun+E7fSprma5lu1ink81yywRAZjjXPQkYY+20eue0D3L9nX/knn/b5L/Ja9O/iry/9nNs/D1/+v2X+S16i3SgDF8Qaa2p2gj/cMqtuKXCblOOnQjFY+k2dlpOoRGbRxaXOSsVxCDLGc+jAZXg/xAfU1u+ILcXWkXUbPLEpjbLQ/exg9PX6Vh+HNPn+1Ws80dw0apmNprsSBcrjO0DGce5xk18xi4qONhaOrtrv17HXB/u3d/IyPjZz4dtP+vlf/QXrudFA/sm04/5Yr/IVw/xt/wCRdtP+vlf/AEF67jRf+QTaf9cl/kK83BK/EGKv/LA6qv8AuVP1f6F5VHpXJfFQf8UTqHHeP/0YtdaOKo6vpNtrljJaXieZbyY3IGK5wQRyD6gV9biqPtaMqcd2jyj5o/Cj8K94/wCFWeG/+fFv+/8AJ/8AFUv/AAq3w5/z4t/3/k/+Kr4b/V/E90YezZ4N+FeNfELxDeeFfFmtaFa3cy3vi6C2TSFaR2KXBdbe4aMchRFEY5mC44Vmx1Nfbv8Awqvw5/z4t/3/AJP/AIqoZPhL4WmmilfTFeaLPlu0jlkz1wc8ZrajkeIpSu7NDUGfCun6Xb6F8VLjStSvx4mg8QNPZ29/a6tKl9pkawkm0kjRxiJRGdsikMrscjc280rPw3H4P+H3ibxTpt3rT3ui6xczOJtWuboGztrsl4wk0rKf3KOOgJ9ea+8Y/gv4Phu2uo9GijuXG1pldg5Gc8nOTzU//CpfC/lyJ/Zv7t871818NnrkZrs/svE6bdL69g5Gfn1D4w1C68Sa5YNf3Bi8dXynQ13MwEUF39luTCwP3fs6RXOBwRKxBIzXRi8ttB/aG03yZoxbalBe27Na6xLeySyqqSn7TC52wRx7ZVTbuClsDYG2n7e/4U/4UX7ORpMY+zjEPzv+7GMYXnjjjjtVG9+A3gm8t7+E6MIGvoXgmuLWaSGYq4IJEisGB56g5B5q3ldaT2SVrb/10DlZ8TSX0p8Pzanc2+qxR+NL+W9v7zStPubmWKxjjWOCEG3jZ4y0UcY3DoXlZSCcg8E+JL7xX4N+GGn2gnvZbPw5B4h1JrlJFkklSBY7aNtwDEyzGSQN/F9lbqGzX3RZ/CHwrp1nBZ22meTbQIsUUazyYVQMAD5vQVQ034F+C9I1TUL620kxXN95Qmf7RJ92NNsaAbuFAzhRxlmPUml/ZdbltZXT01+XbsHKz4T+D/xFGl6LBfaikGpapf8AhUeIL3Ure9kmfzFCZiuAThGZnO1VVQgVkVQE59f8CWMXg3wXY2upXcKX3ky6jfySuEzNI7TXEpyeF8yRz6DOOgr6H1T9nzwHqthLaTaCiW81xDcyrBK8fmvHIsi79rfMNyDIPBGQeCa1ZvhH4Uud3naWsm9DG2+RzlT1U5PQ+lY1snrVLqNld66/cHIzwmC6gumlWGWOUxNskCOG2NtDYPocMp+hFTfhXukfwo8MRM5TTdhc7mKzOMnAGT83oAPwqT/hVnhv/nxb/v8Ayf8AxVcD4fxPRoXs2eD/AIUDjtXvH/Cq/Dn/AD4t/wB/5P8A4qj/AIVZ4b72Lf8Af+T/AOKqoZBiYyTug5Hc6uP/AFY+lPpFXaoFOr9AhG0Ujc4j43f8kb8d/wDYBvv/AEneuG/Y1/5N48N/9dLr/wBKZK7j43c/Bvx2P+oFff8ApO9cB+yObmH9m3w8bbyROHuSv2gkJj7TJnJHtmvOl/vi/wAL/MRJpOjw2PxDuUvNY/s2G6vEWOwv9NaGWdo7medBFOWMcgZ5yfl+YKFzg5r3Fa8o0mw0+18QDxAU0m8E2oyQR391PcXF2jGZovLj8wHywGJXauEHbjmvWFrpw+iYz4x+I3Hj7xFz/wAv83/oZrns7efSuy8TW99efFjV4dLd4r59SmWOSNipXLHJJHQAZJPYZrK8Y6wdY1ONRNJPBbRC3jnmzvmAJJc555JJ9gQO1dgH2Loq7dHsFPUW8Y/8dFS3SPJbyIjbGZSAxGccenemaau3T7QDtEo/QVYZcqRnFRKPMmmGxwknh+003d9r0e3u7dfvTWvJUdy0ZOfyJ+ldFq1wtz4ZvZY92xraQjcpU/dPUHkVzMmjyzahqkEZvLqBpsTBrsRgkxplcAEkYxzx6e9dbr42+Hr/AP695P8A0E18fQ/g4i0bJRa/PrZaHdP4oNu5yXwY/wCRWf8A6+H/AJCvQMDb0rgPgz/yK7/9d2/kK9AHSujhiK/sfD6dB4//AHqp6jZANp4r5guv+PqXj+M/zr6hbmuTb4X+HWYs1kxJOT++f/Gt82y+pjVFUraHnSTkrI8G/Cj8K94/4VZ4b/58W/7/AMn/AMVSf8Kt8Of8+Lf9/wCT/wCKr5z/AFexPdGPs2fKfxTvJtD0/SNfjmkhi0nUoZrpVcKj277oZN+eNqiXfz02A9q8n8RM/iLwvB46vNRgn026mvdUj8P6hqU1kt5ZExrayxFXGJVhhEqBlID3DfcbDL+gM3wp8MTxvHJp3mRuCrI0zkEHsQWqtefBXwbqCxLdaJDcrF9xZmZgn0BPHSu+jk9emkml/wADsVyM+IF8H6Lr3xg0G4jk1yKy1LQ5dXe1bWb6NTMJYdhaPzsDAYgrjHJyK5yTxlqmnalpenjU5418A6hJJrq75E3W8115FoZSTyptnmnOcj90pr9Cl+E3hgOsn9m/Oq7Q3nPkD0zu6Uw/CDwozXBOkoWuAFmJkf8AeDGMNzyMcc1tDK8Qrc6T07/10Hys+APHF5JrHwfj8QvcQtd30d3rdvLd65LZ3FnbSN5kEtvAg2yTLCE2gldrEgNh2r0LV1PjLxZZobs2thoWktfCaUGMx3dxFJFHKxyMFIfO46fvieqivre6+Cfgu+8oXOhQXAhx5fmMzbMdMZPFRWPwO8HafeatcxaUxl1OVZrkvcSMHIjSMDBbgbUHHTJJ6k1P9k4hx0snr+IuRnwv4X8St8N9G8XaVYeTrOuQWtiLDUIdXur+C+u7l5ILeNxPI/ksJVy4VyNjBuMYGZJnwh42udOvHi1S18MyaNZWFlealNHcTLLs33cUK4VpTLJIWkO4uEdPlG4t95zfs++BpJtPZdESAWNz9rhjhkeNPN2MgYgHnCuw59fpWhP8GvB95cR3E+ixTTx/clkZmZfoScitf7Kq3bstd9Q5GfKuitb6h8QPEviO8nSO305Y9DtXlcBE5EkxBJ4LSPGp9fJUdq7Bda06S6W2W+tmuWlaEQiZd5kVQzJjPUKQSOwNe4aP8C/B2h6a1hb6WzwPPNcv51xJIXlllaWRyS3JLux9u3Srq/B/wmsglGkoJgxYP5j5DEYJznrjjNcFTIq85XurdBcjPD/wo/CveP8AhVvhz/nxb/v/ACf/ABVH/CrPDf8Az4t/3/k/+Krn/wBX8T3QezZ4OB7V7P8ABn/kWLn/AK+2/wDQErR/4VZ4c/58G/7/AMn/AMVW1onh+y8OWr21jF5UTP5hUsW+bAGeT7CvWyvKa2Dr+1qNWs0VGPK7mpSH+lOpv+FfXNaGp8xfst/8lq+NP/YZl/8ASiavQ/iVayWPjOx1eC6fSZkhTdqF3pr3dn8nnBVLxsDCR5zEl8KwKckqQPO/2Wv+S1fGr/sMS/8ApRNXp3irQ4/FPipre8/szUbiztY5JNOv7q4+zIryTCOTyR+7ZiFIJIJG3sMZ8XD/AO7Jeb/MS2O28HQ2sPhrTxY3i6jatEHju4yCswb5t4xxgkk8V4v+02x/tbRF7eS/8xXtvhe8i1DQrOeFrcxPGNptQRFxx8mQDivEP2nD/wATvRhn/l3b/wBCr2YfChnitfSn7NH/ACI+of8AYRf/ANFRV4xq2oahpXhO3027uZp5r1I5mikfetvCOY17hWbhsddu31r2f9mf/kR9Q/7CL/8AoqKrA9cooooAKKKKACk9qWigDJbwvo7MSdLsiTySbdP8KP8AhFdG/wCgVY/+Ayf4VrUU+Z9yOSPYyf8AhFdG/wCgVY/+Ayf4Uf8ACK6N/wBAqx/8Bk/wrWoo5n3Dkj2Mj/hFtHHTSbEj/r2T/CuL+JVrbaDZWElhp9lA8l0kbt9ljOVIbI5X2Fek9fpXnfxj/wCQbpY/6fU/9BavluJsRVw+WVJ0pOLVtV6o7sFSpzxEIyimjrIfDOjyRKTpNjkjP/Hsn+FSf8Iro3/QKsf/AAGT/Cr1r/qY/oP5VPX0OHnKVKLb6I45QjfYyv8AhFdG/wCgTY/+Ayf4Uf8ACK6N/wBAmx/8Bk/wrWoro5n3Fyx7GP8A8Ito3P8AxKbH/wAB0/wrhtftray8faNp0NjZJZ3CEyRfZY/m+93257V6cR15rzbxR/yVLw9/1zP/ALNXyXEmIrUMLTlSm4vnitH0bVzvwVKEqklKKej6eR23/CLaN/0CbH/wGT/Clj8N6THIskel2aOp3KywICCOhBxWoOgpa+sUnbc4OWPYKKKKCgooooAKKKKAEauf1Rs3hHoAK6DvXO6h/wAfsv1/oK6KPxHj5o/3KXmV6KKK9A+SCiiigAooooAKKKKACiiigAooooAKKKKACiiigAooooAKKKKACiiigAooooAKKKKACiiigDX0TP2d/Xd/QVpDrWdov+ok/wB/+grRHWvKqfGz7rB/wIeg6iiioOsrXHmtA4hKiUqdhYEjPbIHauH1KaODXG864sxPlTJixmZuAuTuD47j6ZGa7uVykZIG7Azgd64T7UmqXwV9PktLmR8sjXAjkOQu4YI5GFGcelfM5xLSnFOzb6rT/hzroLd9DstS/wCQbPj/AJ5N/KuJ+Cv/ACLM3/Xy3/oK12+o4/s6fHH7tv5VwvwbuI4fDMwd1Qm4Y4YgdlrysZOFPPcK5u3uS/Q6aScsJUt3X6no1IzEA1D9ut/+e8f/AH0Ka19bbSPPj/76FfXyxVFK/tF96PO5JdjhZvjJp8MzxmwuiVYqSCvY/Wm/8Lq07/oH3X5r/jXk99ze3HP/AC0Y/qagr8/lnmLUmlL8EcvPI9e/4XTp3/QPuvzX/Gj/AIXTp3/QPuvzX/GvIaKn+3MZ/N+CF7SR6/8A8Lq0/wD58Lr81/xqjrHx80jQ9HvtSuNOv3t7OCS4kWFVdyqKWIVQeTgHA715dSMoYYPIPrTWeYu6vL8EPnZ2msftZ+E9Ht9One2vrqC/sZ9ShltUWRTbRIjtKSD90+ZGB6mRRWX4o/bK0Lwf4bbXNX8JeJ7OwSZIJC1tEWjZ3REJAl6M0iqCM85zjFfPPg34Xal4esfE1jq2kw63p1navo2h2clwrfatMLPKImLfcIV0g+b73kKScc1ieIPhn4z8QfCHxdoqQ3CR3uq2FxomianepPc2NrDPbPKkk+9lJLRyuq722gqN3OB60c2qXtzrdX9H29A5mfVUn7YHhezt9ebUdH1rS5dF05NVura6ijEvkO0yoUCudzE28gwDnOPWprX9rzwbfRaTJbW+oXC6no5123WGDzHNpmIBii5bLecmFxk4b+6a8C+KHw/1HxJ4y8IalpcEbwCb7HrLMVVvsYkjuUbJI3ETW0a45+WaTjmqvw08E6z8O5vFt1c6c1/FA/2PQ7Szmj3yaejyzQxDzHCoVa4kjG5gNsa9Bip/teo4c6nr209Pz/AfMz6W+H/7Ufhr4meEdP8AEmi2WoPpd8HMLTosb/K7IcqTxyprof8AhdWn/wDPhdfmv+NfJf7MXhjXvA/wd0fw54j0ebR9S0150ZZJ4ZVkDzPIGUxO3GHA5wcg8d69WrhrZ1iqdSUYSTSemwudnr3/AAurT/8AoH3X5r/jR/wurT/+gfdfmv8AjXkNFc/9uYz+b8ELnkevf8Lo0/8A6B91/wCO/wCNH/C6tP8A+fC6/Nf8a8hoo/tzGfzfgg55H0b4Z8QReJtLW+hjeJGYrtkxnj6Vse9cH8K9QtbfwnEklzDG3myZV3APX612H9rWP/P5b/8Af1f8a/QMJW9rQhOb1aN1sXG+6a+ZP2PmLeLPi8pPA15j/wCRJv8ACvo46xY4P+mW/wD39X/Gvm/9jtlk8XfF8qQwOukgg548yesa0k8RSs+/5DO8+JWg3K+IL3UdP0XQ9iwWv2m6vfDkmpTTb5XQkbJEJ8tcMVAZsHsMV6J4MuLy78J6PPqNutpfy2kTz28cRiWOQoCyhCTtAORjJx61yHi6JrXx9DcWF/rFld3VtDaXEljBbPAi73MRkMwzkkuBszjPIA5rtPCupR614a0u+huZLyK6to5luJkCPIGUEMVUAAnrgDFdFKP7yQHjX7UEmbvw8vok5/VP8K8Xl1a9uLYW8t7cSW4AHlNKxTA6DGcV7F+08x/tTQV7eTKfzZa4fXdHtLXS71ltIorSOCF7K+VzvnclN4xn5shnJ4+XaK7QPa/2c/8Aknrf9fkv8lr1DmvL/wBnP/knrf8AX5J/Ja9RoAz9U3/ZXKvHGgB8xpQSu3Bz3Fcn4XMUWqQIj2p+Vtqw2M0RwB2ZnIA5HbvXSeILprfTZdto96r/ACPFH12ngn6ViaC63+pxTeSwWEc5uA2xtu3JXGckcfjXy2OfNjqSi9VbdPv0Oun/AA5N7GV8bv8AkXbT/r6X/wBBeu40X/kE2n/XJf5CuH+N3/Iu2v8A18r/AOgvXZaPdRLpdoDKg/dL/EPQV5mEqQp8QYrndvdgdVSLeDp27v8AQ1P5Vl+Itci8O6TNfzRvJHEVBWPG7lgvf61e+2Qj/lsv/fQrlfidcRy+CtQ2urHMfQ/9NFr6jFYynToynCaukeY4ytsZf/C6NM/58rr/AMc/xo/4XRpn/Pldf+Of414/RXwn9u4z+Zfcc3Oz2D/hdOm/8+V3/wCO/wCNH/C6dN/58rz8k/xrx+il/bmM/mX3Bzs9g/4XVpv/AD5XX/jv+NZuqftDaBo13pdvdWt4kmpXP2W3IVSDJ5byYJ3cZCNj3wO9eY1ynxO0PUNc8JTHR0EutWMsV/YxGTyxLNE4cRljwocApk8DfmtqWd4qU1GUlZ+Qc7PWdQ/a48MWetS6TBo2u6lqUckifZbK2RmKxpE0jglwNq/aIQec5cAA81Xv/wBsHQbDxevhv/hFfE8+pvA11GkNtCVkhVlVnBMo4BZRzg89K+adW+HmsnwDoaTeGpNQ8ayLdX76tp1/Hby6VqVyN0hWRnUtAGcoQpfKRINj9uo0/wAG6/F8VPDeuahJHfR2fhqXTr2/TanmXTSwtkR5yA2xjxwOlejLOKsVfmT3+9foPmZ7zH+114NkXwuwg1AHxJM8FgvlLkuiO7B/m+XARvx4qDWv2yPBGhW9vPc22rPFPqf9krJb2hkQT+asR3MDtVd7qMsRnnGcGvlDUvhL4sbVvFr2tlbi20Ocan4PZZVRrqaW4S8uYXw/yDfF5AJ2jZK2citLx14P8Vf8Kj8LaFZ+HZ9b1xr6y1TVGs7m3jjinjuo7m4GZZEzuYyBNoPQZxwav+1KrcbTWvp6/kLnZ9p/8Lq0z/nxu/8Axz/4qj/hdGmf8+V1/wCOf4141azPcW8cskD20jqGaGQqWQkdCVJGR7Ej0JqWvH/tzGfzL7kHOz2D/hdWm/8APjd/+O/40f8AC6NM/wCfK6/8c/xrx+il/buM/mX3C55HsH/C6NM/58rr/wAc/wAaP+F1aZ/z5Xn5L/8AFV4/RkL1qoZ5jHJLmX3D52fUituUGnVTj1C12j/SIhx/fFO/tK1/5+If+/gr9GhUi4ptm5yfxs/5I746/wCwHff+k71wn7IttFefs6+HoJ41mhk+1I8cihlZTPICCD1Brs/jVqFs3we8cATxEnQ70ABxk/uHrkv2P4zH+z54ZDDvcH/yPJXC5KWMVv5f1EUNJs9a0Pxpa7PDeg2WnSX5FsLXw3L5+w3MyOTcLKVjIjEcu9lCt5mAOK95X7vFeP8AhbXorXxJqtpa6zrcdhbagJPs9xa2vkSm4upoyI2A8zaJo5Qd2DxkZBr2BeldOHSV7DPjbx9cS2fxE8QTQSvDKt/OVkjYqw+cjgiufvb661BhJc3E11Io2q0zlyB1wM12muWdvqHxa12G5QSr9qu3SFmKiWRVdkQnI+8wUfj71heKrOO0bTCLZbG8mty1zbLn5H8xgpwScEqFOPx712AfZtuu23iHTCAfpT5M7Tt644oT/Vr9BSSMVjYgZIGcetTIDgNbkih1K4aW4sxIu0TMbCZyCFBOWVwOhz7Zrrdf/wCRfv8A/r3k/wDQTXJ3Fx/a0kttJp8kEkzl2he5EbNldpUAjoQO31711mvjb4f1D/r3k/8AQTXxuHfNSxLTvFp9LPZ7ndLRwT3OU+DH/Irv/wBd2/kK7+vPPg3cRx+GHDuqt57cE47Cu9+2Q9fNTP8AvCr4Zr0o5Rh05rbuXjoy+sz06kzfdzXnsnxm02ORkNldEqSOi/413bXUOD+9T/voV8zXX/HxN/vn+da5tmUsMofV5LW/mebO8Vc9c/4XRpv/AD5Xn/jn+NH/AAujTP8Anyuv/HP8a8for5v+3MZ/MvuMednsH/C6NM/58rr/AMc/xo/4XRpn/Pldf+Of414/RR/bmM/mX3Bzs9Zvvjlpen2Nxctp19KsMbSGOJULtgZwBu5NcxrX7XXgrQNCstYvFvVsbyzkv4WRFZjCkXms20Nn7pA+rKO9cYy7lIIyDxivFPDHw31/Sf8AhIU1bR7PW9M0+0m0fQ9MluEVbmymmaWYsdmFLR/Z4grDrbnJVX3V20M4xEk3Ult6ahzs+l9W/a30fQ9IGpXfhDxTHCJDHIn2WHfGcqFLDzejFwBgnoc4xVgftZeGYbbVJL7Sta0t9M0/+07qG8gQOkGZBu+VyCf3TcA+nrXzjpfhHxDceAfEGnPZXlnFcX0Mml6ZqmoLdXFvArQlleXew+8sjAb3wCBnsLXxY8D694i8QaDPokUT2d5jS9cEk/lkWRnilZgMfP8AJHPFgc/6TnoDXV/bFS/I5Ld6+Wj/AOAPmZ9DH9q7wrLbaZNa2Oq6j/aVk2oWsdnbiRpIgUH97AJMijnHfOACaueEf2mvDnjS3vpLKw1K3msLprK7tbuNElglUK21gGI5VlIIJBDCvlDw74V8ceBdP8W39lo8Os6jpsDaZ4WsHv1CTWxuJZVdmO0IAksEZVjk/ZODhga7f4Q6Vd6T4ZlTUtIvtM1Wa5e4vZtQNsZbydwC8+IJZFCk/KFJyAgHQAnKtm1eEG4ST27fkLnZ9L/8Lo0z/nyu/wAk/wAaP+F0aZ/z5XX/AI5/jXj9Fed/bmM/mX3Bzs9g/wCF0aZ/z5XX/jn+NH/C6dN/58bz8l/xrx+il/bmM/mX3BzyPYP+F0ab/wA+V3+Sf411PhXxRB4s0+S7t4pIUSUxFZMZyAD2PvXztXsPweuoLfw3crJLHGftbHDMB/Ale1lWaV8VX9nWatZlRk29T0Wm/wCFV/7Stf8An4h/7+Cg6lbdftEP/fwV9jzxtuanzT+y3/yWn41/9hiX/wBKJq7z4k6PPD4lkvNP8P6KkJhhe71K78PyanLNukdSFSN0OY/kJ6lhLkcRnPn/AOyvOsnxs+NIQh0OrSMGU5BzcTV6v4sxH8SbBbLVdVsdRvLRLWb7DBbyQImZniaUygnJKzBduehyO9ePh7PDL1f5iWx13gm4vLrwnpMl9bR2t09shkihgaBEOOixsSyD0U8gdcHivFf2mm/4qHSB/wBOrH/x817j4Zvf7Q0OzuPNlnZ1+aSZFWQsDghgvygggjjjjivCv2mj/wAVRpI7fYyf/H2r2o/Chnk82sX89t9nkvrmS3xjymmYpgdsZx2r6K/Zp/5Ee/8A+wi//oqKvIte0HTrHSb8pbJHbQwwNYagJNzXbkrvz2PBc4GNu0A969d/Zq/5Ee9/7CEn/ouKrA9booooAKKKKACiiigAooooAKKKKAG9q86+Mv8AyDNL/wCv1P8A0Fq9Frzz4x/8gvS/+v1P/QWr5Div/kUVfl+aPQy//eYep3tr/qI/oKnqC1/1Mf0FT+tfS4f+DD0Rwy+JjT3pP50teA+Lvib4yt/HXiPTdL1HRtP03S5II/M1JWGTJFvABUHJ+Vvyr0KNKVZtJpW7nLWrKja6bv2PfG+teceKv+SpeHv+uZ/9mrzf/hZ/jr/oafCP/kT/AON1RufGniy81KC/m8Q+Dnu4BiOUmXKjn/Y9zXkZzklTMKEKUKkU1JPV9nfsa4bMFRm5OEtU1t3Vj6gH1pea+a/+FoeO/wDoavCX5yf/ABunf8LR8d/9DV4S/OT/AON17ywj/nX3nJ9a/uP7j6R9ab+PFfOH/C0PHn/Q1eEfzk/+N1v/AA5+I3i3UPiJZ6Jrtzpl5Z3Vg97FNpynawDFRyQD1U8YpPCy5XJSTt2YvrSuk4tX7o90opPSlrjO8KKKKAG9q5u7bddSH/aIrpGrmbj/AI+JP94/zrqw+7PCzZ/u4rzGUUUV3Hy4UUUUAFFFFABRRRQAUUUUAFFFFABRRRQAUUUUAFFFFABRRRQAUUUUAFFFFABRRRQAUUUUAa+i/wDHvJ/v/wBBWkO1Z2i/6hz/ALX9BWiO1eVU+Nn3OD/3eHoOoooqDsKd5cC1tZJWYKqjO5s4H19q46Cwv9dkimvDZ30CuGEcF2VjUg5B4TLH6nFdrcM4hfy1Dvj5VJwCfTNcVqF5bNqcdtdW9naX8hGGjvhHMM+mAD+Hevms0hFyg5ttdtbN/dY6aN7O251+pD/iX3Hb9238q8e+H/w/tPFGjyXU880TrK0e2NgBgAe3vXrdxC0OkyI0zTssRBkkxubjqcAD9K4/4Kf8izP/ANfLf+grXzma4HDZjnWFo4qF48knZ97rsejh61Shhajpuzuv1G/8KX03/n9u/wDvof4UjfBjTdpP228/77H+Fei8c0jZ2mvXlwnk6WlD8/8AM5/7RxX87Pl+eEW9xLGvKqxUZ9jTK6u6+HniGS6mddMYqzsQfMT1/wB6of8AhW/iP/oGt/38T/4qvj3ga8Hywpuy8jxpKUm2+pzVYeteLLfQdd0DTbmGY/2zPJawXCAGNZliaUI3OQWWOTHH8OO4z6D/AMK38R/9Axv+/if/ABVcp8TvgT4p8beEZ7Gzs1tNWt5ob7TrqV0ZIruCRZYWYZ5QsgVgOSrMO9aUcFWc0qkHb0J5ZdjgL74xRf2wdL0rQ77V75ru6toI0kihW5Fssf2ho3kZVJV5PLAJGWRuQoLVJffFa+sfiDbeE/8AhCNcmuLmKS5ivI7ixELW8bxJJNzcbgFaaPK7dxzwpwa1Ne/Zn8WXXw707wzF4a0zVZEgkEt1fXXktDcupzPGUBYNuZzuBVunOea2NK/Z78Z2PjLwvrF2X1I6T4euNHubid0E11NJJaP5x+bAz9nckerDrXoxwSSu6be/f5P5j5fI4ux+PGgX0/gODybuGTxc1xHB5qqos5YVw8U+T8r+Z+5AGcvxRrnxkbS/C974ktfDGp6toWnzXwvbu1mtl8qG0leOWUK8ql87HZQoOVU9CQDa1D9kvxmzeNpbER28t/PFe6GGlVhZXCXAvCz5PRrvc5UcEHFaGt/s0+N5PC/hbwxbaXa6h4d06JBf2N1diL7c8YXy1dlBzHuBZlwNxCg5XcrX9QimrQb77+v39A5WXdW8V/Zda8OadaxrcSas0kjbyymO3jj3PJjHZmiXnGDIPpWZ4f8Aito/iLT/ABNqMPmw6ZocjLJeSAGOeNYxIZo9pJKEE4OPmxkZBBNw/AHxj481bxld61p17oa3timgWMlnPD50VuoLzzRM24KZZJCuSvKwRHArHX9mHx34fXVdOWbUPEVj4h1KyikN2tlGLO1hiBlZhDHEvzLD5QABHzR8D5ic45deOsXdW7/MXKRaL8UtWvtT0bSZvCN/JqNxZWl5fyW1zarDp/nFsqwkmWR9m1s+WrdOMk4rqF8TGbxw/h+CMSC2sFvbuXnMXmSFIV99/lznjOPL7ZGWfEL9nnxj4y1KwS20HTbJba9sbpNbFwovYkgnSVkQBf4grx/exiQ59Dd8CfCHxtY2Osa1c6F5Wua7qf2y4huJ0HkwApDFHkE/MtvGpx0LluRuqamBlKHNCm07ba7/ANXDlZqUVrR/D3xo08QfR4Fh81w7Lcgny8HYQP7xOMjOMHqavf8ACuPEf/QNb/v4n/xVeY8DiV9h/cPlZzdFdL/wrfxH/wBAxv8Av4n/AMVR/wAK38R/9Axv+/if/FUvqeJ/59v7hcsuxzWn/smeGPiWk3iC+1XVra7upW8yO3mUICOOAV44FXP+GDvBv/Qc13/v+n/xNe3fDvSbvRvDcdreQmCdXclSQeCeOhrqzX6Lg8DR+rw54621OiysfMp/YO8HD/mO67/3+T/4ms39iHSY/D+ufFPTIXeSGy1OK3RpDlmVGnUE++BX1W33cV8v/sesG8dfGNR1XWlJ/wC/tzVSw9OhiaTgrXv+QWO++LFnaa94oks5TY2D2WnLcyXV5qt1Y+epd9qZgkTcqlGOW3bS/A5Oe/8AAGrWWseD9HnsbeKyha0hIsYmDfZsoCIjjpt6fhXBXWk6144m1XXB4jstLSxvLm0g06fTLeeFFgmdM3DyDzDvC7/kZMKwxnqe98AXVtqvhHSdUt7GDTjqFpDdPDboFUF0VscAZxnFdtH+I5dxnjv7Trf8TzQ19LeQ/wDjw/wrxbJ4GfpXsv7Tjf8AFR6Qv/Tox/8AHzXF6hcabd6HqkASwje2is2tDDGiyMxUCX5hy+cksCTggdK7wPbv2c/+Set/1+S/yWvT2rzH9nX/AJJ6f+vyX+S16d/FQBi+Ir6e0sVFtLbxXEjAK10xVffnHWsvQNGuBqkd/dxRXE+wr9qF0WIBHRUCKuPfrz1Nb+qPOsGIbaO5ycMsj7Rj8jXL6LNa6nqh+xNDbuh3SGxvQ4P1jxtOemcfjXzGKiljYSnd7WWtvXa1zqhf2bSKHxt/5Fu1/wCvpf8A0F6qWPwdsLq1hma9uVMiKxwwxyM+lW/jZ/yLlr/19L/6C9dxooP9k2np5S/yFfMPKcHmWf4hYuHNaMbb/oemsTVw+Dh7OVrt/ocL/wAKT03/AJ/rr8x/hWN4v+GNl4d8P3OoRXc8skRTCyEbTl1HP517Ac1zfxC0+51PwreW1pE007mPai9Th1J/QV62I4XyqlSlOlQ95LTV7/eccswxU4uMpuz9DwCit/8A4QLxB/0Cpv0/xo/4QLxB/wBAqb9P8a+T+p4j+R/ceJZ9jArl7z4g2Gn/APCVC5inhHh6JZ5ywXE0bRbw8fPIyHXnByh7YNej/wDCB+IP+gXN+n+Nec+Ov2dvFvirxhpl/a2y22kzLDFrVvIgMlzHBOtxAqHOOXDI+7IKOw610UMHUlK1SDS9CuVmNoPxYbxTfa5FpHhzUb2HSHktZn823jdrtEDNAI3kUjltodsKSCc7cMaGi/GyTUENxqHg/WtC09b8aY17eS2kka3BmEOwiGZ2++cbtu335GequvgT4x1L4mad4i/sGz0pbOSTzbyymb7RfwmNlSGVcKuAWD8lsFRjqTTr/wDZ58UXnw88U6ALeRLzUrq8vLO6XgQTSStLA55zlH2N/wABru+px2dN6276dw5TI/4W9pH2jxjAsU5uPDM8UFxGdoMzSIjIU56EvtycfMrDtVu28fTHx1F4bvtBvtNNzDNNZ3k0kDx3AhZA52pIzICJFKlgCRnIU8HItf2WfGy65oN7IqiGaaS68QwKM/aJBetfW4hJ7RyySJk4yjdMgVp6t8D/ABsnxAh8ZQ+HILE6fDdNcDTX8y71hDCUihkBCqMEIwyT8ygAgZNU8vje0Yvb8RWK0nxOFu3iq5eyMthpd5HpdksDZm1G7KKWRM4UAPII8k4Vo5SxUKSLK/Ei3vvDPg/V7KAgeJjbNawXGAyRyRGdy2OAUiV2POPl61Pa/s1eKLjwr4bg+2azoGqaeslxLJpi2j+ZczAmVn8+KUE7mfkYPzGsv4f/ALOPjHT/AOy9N12zuryz8OeG4tAs7lhGDNLKifaZVAA+VVigjQkbv9bnOck+oR5ebld0/Pbb8wsa/gnxwPHFodRttOmttGmiSeyvZpYybmJhlX8sMWQMuGAcA7WGQpyos+BfEk3i7w8mrvALeC5nmNoBnMlsJGWGU5/56RhZMdg4HUVwWj/sx/EHwX4bhjs9JhS7tfD8fhuOLTHwLx5JIo2vZgQAvlgM+BuIDSYPTPssfw28U6LpcdjpOhq0NrZmK3SaTYN6qBGpwDhTjkjp6VhWwEoq1OLd/wAAsV6K1rPwL4qaS4+06RsQOPJ8p9xKbFzuzjB3bunYA+wsf8IH4g/6Bc36f4157weIX2H9w+VmDVfUrFNU0+5s5GdI7iJomaJtrgMCCQex5rpv+ED8Qf8AQLm/T/GgeA/EHfS5v0/xqoYOvzL3H9wuVmN/wwb4VbkeI9cUHoN6cfpS/wDDBfhb/oZdc/7+J/hX04n3FzxxTsV+mwwGHcU3H8zo5UfIHxD/AGK/DnhTwD4k1u38QazNNpum3F3HHI6bWaOJnAPHQkc165+yL/yb74X/AN2b/wBHPXW/G3/kjfjv/sBX3/pO9eafALXLjwv+ynpOqW8Uclxb28zr5xPlpmdhvfHOxQdzY52qcVzxo08PivcVvdYdSW1j0fTfGT+I5LfS4Fm1lrJ7Matc+YrLPIiytCZPJyGZ5duwY3swO4kn3iGZLiFJInWSNxuV1OQQehBrySTwvqPhXUbDUtS1mw8SwaheRW09ncaPbw4aV8b4HQBhjOcSGTIU8g8161bwx20KRRIsUSAKqIAAoHAAA6Cu7DprmuM+OPiN/wAj94ixn/kITc/8DNc6WO7cTk9a7nWJLRfit4gkvY4JbdZ79vLujiNmEchQHkfxbcYIOcY5rA8TzW14ulXMKW0c89puuVtUVFEgkdfurwpKhTgAeveu4D7TX7g+lRXUwt7eSQkAKpJJ6VKn3V47VHOz+W5RA7gfKpOAT6VEr8rsNbnCrp+oeIFR7z7FqECkN5EN4Viz2ziPJ+hOPaur15f+JDf8f8u7f+gmuY1K8t21BILi2sre/b7vl3/lS89OQAef1roNUhe38N3kbyyTsLZwZJMbj8p64AFfI0IxhRxCV27O7e+z8jslfmg/M8r8B/Du18V6O13PdTROJWTbERjgD2rpv+FJ6f3v7rP+8P8ACrPwY/5Feb/r5f8AkK75e9fP8P8ADeV4rLKNatRvKSu3d/5no4zH4mGInGM7JM84/wCFK6epyL66/wC+h/hXk0kYikdB0ViB+FfUDfdrwC48CeIGnlYaXMQWJB49frW+YZDhMDyywNKzd72u/wDM8jEYmviIpVJXsc5RW9/wgfiD/oFzfp/jS/8ACB+IP+gXN+n+NeL9TxH8j+486zOJ1zxNb+H77Rre4SQ/2pd/Yo5VHyRyGN3XcewPl7R7sB3rldU+Lsdv4k/sHTdEvNY1Np54Y0hnt4kfyEhaYhpJFBIM6IF6ls52qrMO+8e/CDxP4o8Ny2lnYvb6hFLFdWksh+VZYpFkXdtYHB27TjsxriL79m7xg3wzsPDr6DY63qbJNPd6leyGJo7+ZjJLcw7VJGZXdgAVIAAFejQwV4pzg79v1HylO8+LWo2njiLwwPAWvTXM0bTx3C3NgIngV1RpebkEAFxwRu9quR/GDR2Pg9fLn83xLcy2tuilGMDRq5cykNwAyheM/M6jvXR6f8DfFtv4y0LWrmKS8Njoj6ZM8gAkmkZ4mMnBxzsP51xt1+yr43fWPEl1CsPkLOt54djeLm1me6S8uRKQRlXmjjUFeQgPeto4OE3aUGtPMfKXNe+LEWj6DqGs2+iX+o6Xps1xHd3ULwoqLA4SQqHcM5zuwFBB8tgSDtDX/FXjv+wNS0Kzt7f7U98txd3HUGGzhhZ3lHqfMaCMA/8APXPQGqGsfs0+MLv4baV4aGhafq2oQWDJJq19KySQ30g3SXUY2scmUmTqDmui0X4R+MD4m17ULzRZLiSGzh0uya62hbhQnmSOcdFZ5Np4/wCWZ4wBUfUVy8yg3a/z7CsZng3x9N4q0W41a+0K98N2EUSzJNqV1aOssZUsWBhmkChQOd+OvscY/h/4uTeIZNNt7TQLq5up7e3vLrE8MSWkc+WiRt7gtL5YEjIoO1e+WQNBqX7N/ja4uNTt18NW+laZ4lax07ULDSZAYUtYXmkuZHO1PmmjZbf5RkAg5OMC94m/Zg8Wal4w1vUrTS7Mw6vd6defbJhtu7J7bYGEZAO5WSJccrgs/UGtfqMbu8HrtvpsFjfXxO9x47k0C3gWSG108Xl3clh8jySbYY1HfIjmZs9MJ13cdBWV4V+GfjSGHxBqzaDJFqep6m7xwXUm3FvGwhiJIzgtHH5gGOsmD3rfj8D+OPtyB9Dh+xmdwzrOfMEWwbCF243F8gjOAMEE9K8+pga17Qg9AsVaK3v+ED8Qf9Aqb9P8aX/hA/EH/QLm/T/Gub6niP5H9wrMwKr6d+yroPxYmvvEF9rGq2V1JP5Tx2zrs+VEAIyM9K6b/hA/EH/QLm/T/GvU/hbpN7ovh+4gvYGt5WuWcK2M7SqjP5g17eT4OTxFq0Haz3uawXc8U/4YL8Lf9DLrn/fxP8KT/hgzwt/0Mmuf99p/8TX1BtFGK+3/ALPw/wDKaWR8jfsZ6BF4V+JnxW0WCSSaDTrsWkckuN7rHNMoLY7nHNeufE+xg1/xjbWRNjp93Y2Iu4r661K5s3k3O6+WnkSISF25Yknb5i4HzGvN/wBlv/kuvxr/AOwrJ/6Uz16R/YutfEK+utYXxBZWEVneT2UWnNpMFypEMzJid5PnJbGcI0eAwxk/MeHD/wC7KCXV/gwWx2/w91Sx1bwjpU2mxw29qtvGiW9tIJI4gFGFVu4xjB4yCDivGf2mv+Ro0r/rz/8AZ2r2jwBdQ6l4T06/htLaz+2QrM6WiBYmYj7y+qnGQe4Irxf9pr/kZ9J/68//AGdq9un8CuM8c3HAGeB0Ga+lf2av+RHvP+whJ/6LjryHxZcaZNZ31vaRafGlvHZGB7ZEDuzRZlyw5b5jgjPGPWvYP2bP+RFvP+whJ/6LjrUD1miiigAooooAKKKKACiiigAooooAZXnnxi/5Bmlg/wDP6n/oLV6HWD4u8J23i+zjtrqSSJY5BIGiIBzgjuD6185n+DrY/LquHoK83a19tGmdmEqRo14znsi/b6laiFP9Ii6D+Mf41N/alp/z8xf99iuC/wCFJaX/AM/9/wD99J/8RSf8KQ0v/n/vv++0/wDiK8aljM/pwUPqcdP750+zwbd/aP7v+Cd9/aVr1FzH/wB9ivlf4oMG8ZePyDuU6jppB/7dJa9q/wCFI6V/z/XxH++n/wATXh/xCtV0/wATeOLWMkpDfaXGpbrhbSUDP5V9Vk2JzGsq312goJLSzvfVHj46FGM6fspOWva3T1OJooor0iwzRmiigAr1j4Vf8lS8I/8AYuyf+j5a8nr1j4Vf8lS8I/8AYuyf+j5a7MP9v0Zw4raHqj6W5p1IvSlrjO4KKKKAGSfdP0rmZTulc9fmNdNJ90/SuYb7zfWurD7s+fzb4YiUUUV3HzQUUUUAFFFFABRRRQAUUUUAFFFFABRRRQAUUUUAFFFFABRRRQAUUUUAFFFFABRRRQAUUUUAbOi/6l/97+grQHWs7Qxi3f8A3/6CtEV5VT42fdYT+BD0HUUUVB1jOwri75YZtTv7T+17W2SWVRNbzRjzclV+4d44IA7HvXaN93muLka6F5PDNqdksrSDbttWZ1BAwPvcH65618/m3w01y31726HRR3budTqPGmzjqPLb+VcT8Ff+RXn/AOvlv/QVrttQ/wCQbP8A9c2/lXE/BX/kWZ/+vlv/AEFa8fE/8j7C/wCCX5o64f7nU9V+p6GKWkFLX3B5glFLRQAlHFeHal4+1m2+Inxi0/8AtNks9F8OWd9p0RVB5ErxXJdwcZOSkfXI4rgYP2hvH2m+D9LltLDRdVbS/AuneK9YutWmkgnnDpKZliWNdu8+VkZ2gE478czrRi7MD6ualrw34u/ETxzZ6p8LP+EHXSo4PEl3JHcRa15gBzatNGpKKSowrkkc7go6E1T0f49+Ibvxhp0k+kaavg7VPEt14WtTFNJ/aEdzD5o81wRsMZNvJwDkAp15AbqxTswPfKX+VeQfEDW9f0T47fDC0ttbmTQ9amv7e60pYY/LfyrKWVWLkbs7gp4IHFebeG/ih4tvPiFDfvr015bz+P77ww3h+GNBHHZxQfKxyobehHmswY5DY9qmVWMXawH1TScNXjlx8YNevPi94l8OaXpump4f8I21tc67d3ssv2qQTwySoLWNFKnaI8HeRknivM7j9rDxfovhmTWtX8OaIltrHh258Q+H47G7lndFiKHyrwbQASsg+dSBuUr1OA5VoR3A+sOKOK+XvE37Q3xP8EtrF1rPhfwuNN0WWwuL02eozySPa3c6xRJFmNcyqSdzMAvoD31NN/aO8S3Pjq4tbjRdLTwtb+MZvBzzw3ErXzT7Q0Uoi27QgDKGO49zgAcz9YpgfRtHFfLusftLeKdQ+GvhLUNKs9LtdZ8Q+GtX1iTzWcrZvaIjDaOSchn+8Oqj3qT/AIaD8e6doPhGyOiWes+Jb3w0PEFytjbXVwt0pcLHDGsa/u3YEFpH+RWOMEU/bwvYD6eoqtYzG6tIZnjaF5EV2jbqpIzg+4q1XRuAUUUVQCN9018t/sdf8lB+M/8A2GU/9HXVfUjfdNfLP7HLH/hY3xoTsNWjP5zXf+FeZiP94pfP8gPRfGGofCGTxpdw+Jn0Fdes445Z2vWRSc52qwJ+ZgF6HJwV9RXqGh6lBrGj2V7bJJFb3EKTRpLGY2VWUEAqfunB6dq4Dxg93a+OZm8zUtPs5NPh2Xej6SbqSVxJJuSRxE5woKlV4HzNXoGitv0mzbzJ5t0SHzLmIxyt8o5dCBtY9xgYPYV0Um3OSA8B/aaYnxZpS+ljn/yI3+FePV67+0w3/FZ6cvXGnqcf9tJK5TxRq1tcaLHBbR2L2m2EW22UGeAhBvGwAFcnO7PDHB54NdYHtv7Of/JPW/6/Zf5LXqH8VeX/ALOf/JPW/wCvyX+S16g3SgClqgjbT7kShvLaNg23rjBziuY8P+TfXlhL/a1pdCGNvIhgjEcmCoHzfMeg7AAZ+grpdYWeTTbhbaVIZih2ySDKjjqawdBmNzfW5OoWsvyk7bW3KF+O7EnjvxjtXzeN1xlNON1p1t19dbHTT+B6mL8bv+RctP8Ar5X/ANBeu40X/kE2n/XJf5CuH+Nn/IvWv/Xyv/oL13Gi/wDIJtP+uS/yFeXgf+SgxX+GB2Vf9yp+r/Q0KSlor7g8oTFHTrS01vu0gDil4r5p0X4oeJLz4Z/B/UH1Z5NS1fxWum6nJsTdLF/pm6Jhtwp/dpnGD8v5t+E/7S3izxp4q8GW+r6DotroXii41OxtZbG8ke5jmsxI5d0K7VUqgXbnOfmyAQDze3hdID6Y4o4FfOfjX44+LPhn47+Jd5qttp994P8ADmj2l5a2dvvW7klmZki524Cs4YOedoCkA8iuz+EPxH8U+JfFfizwr4x0/R7XWdBjsrj7RoVzJLbzR3KyMoAkUMCvlHJPXcMAYyaVWLlbqB6xxRx+FfMnir4jeLvBurfHxRr82oDw/oVpqWlLPBGFtJJUuGIUKo3AbE+8T92u0+G2vavpPxG1/QL7Wb7XtKg0Cw1ZJr4RtJFNK0yyIGRRwRGrbT03ccVKrJtID2f5aPlr5vX9oLxxH4Hs/FD6L4ca08T31pY+GYFvZ/Mja4m8tDegx8AZUt5fIORil/4X945vLqy8N6foWhTeL/7du9BunmuJlsN8VqLhZUOC+3a65UjOQwHY0OvBAfR/y0bhjOK+UfCf7W3izWPBt34iv/DWkWtrJ4S1DxBYLb3csjGaylEMqShlXCs+SoUkhQMkk8bN1+0f4w8O22tpr2i6FHew2WlavZf2bcyzQ/Zby9FsUlZgp8xfmbKjb0o+sUwPpbik49a+X/Efx0+IWreMLDTfC8Gh2sEPjm78MTfbjJ/pEcdms8ZYgHGcy5K91jA4LV1nhT47a/4t+Jk2m2nh5p/C8OsXmiTXEdpc+fbSW+V+0NLt8gxtIjrtDB1DIefmAarQvYD3T8aU9KWiugAooopgcR8bv+SN+PP+wFff+k71xf7Ltxa2v7OXh2e9eOOyjtp3meYgIsYkcsWzxjGc5rtPjZz8HfHY/wCoHff+k71y37J8fl/s/wDhRTzmKQ/nK9eZL/e1/hf5i6kXg/XPhFHrdvd+HV0V9aubhreGOxCPOG3spKIPur947lAG3npXsgrynwvcXMevSwXN3rVoy6jcBbKDRGSyKGVyp83ycYYEEsW5JJzzmvVV6Cuig7p3GfF/j5i3jbXie97Mf/HzWD7V2U0livxQ1JtQ8k2xubkZuBui8wh/LLcHjeVzkEetZPi6++3alHK0NtHMIgJWt5UlEjZPzMy/LuxgHHoM85rrA+0l+6PpR9aSP/Vr9KVs4NJgcJqUdtc3mrWR1e2soZpALmK4jHmcouSjFhwVxyQcHNdPr3/Iv34zk/Z3/wDQTXM3Ulz9qv4ZtVsY3MmEK25d4lKDH8WAep5z1z7V02v/APIBv/8Arg//AKCa+Qo60sS+Wzs+vr06HdL4oa/1ocn8GP8AkWJv+vh/5CvQBXn/AMF/+RYm/wCvh/5CvQFrfhf/AJE+H9Csf/vVT1HUlLRX1J54lJx60rV5Yvji5s/jX4r0W81NYNKsvDVpqkUMu1ViYzXKyy7iOmETOTgYrKc1DcD1Lj1o4r5Gtf2l/HWg+DtCEGmaXrd5F4NtvFmp3mrXJtXlj894pkQIu0uw8sqeAPmznKivRPj18SvGPh20+F934Nawt4PEOv2lhcrqiOGZZkZkjICnapCvuP3gQuOprJVoNNoD3bj2o4r530H9ofxJqHjPTJLrRNJi8Ear4guPDVrJBcyyamtxEXUSvFswI2eM8HBRWDE4HPWfFPWNe0P4nfDE2OuTW2kapqsmn3elrDHsmAtbiXezlS2cxpgAgcHrmn7WPLzID1vI9aWvmNfiF4nbxTousDXrpEvfiHP4Xm0d1j+zpZpHcBcLs3B28lJNxOfm9MV6D4g+JXiiL4nX2jaPp2jt4f0S1t7vV7i/uZEunWXfxboqlSwCcbuGJxkdaFVi1dget02vmmz/AGlPFsWhTa3qWh6Kun6p4V1HxToaWtxK0scdsiyLFdBlALMskeSmACGHoaz9L/ad8f3B1K4u/Cvh+LT9L/snUL6WHUZnk+w34/dJGpiG6ZeSzMVXjAHel9YpgfU+fal4r56vPj14usfiEtp/Y2it4STxTH4YkmF2/wBvMkke5JRHjaFXIyMknHAA5HNzftMeLPEHwdttb0ew0y11++0HXNUVW3usTWNwY12LkkkoGIB4LbR0zR9YpgfVH4/pR+NfM2qftAeO9C0XwvpUeiafrfjO40Jteu4LO1vZoJ4d4WGKIxxnbI4zln+RGAzwwI+itD1F9Y0Wwv5LSexkureOdrS5XbLCWUMUcdmGcEeoq4VI1HZAaFLRRW4BSGlpG6Gk9gPlr9lv/kuvxr/7Csn/AKUz16N4s1X4RXXjK8t/EcmgDW7NIpJ2vmjUsSWCq+Th2AQcNnAK+tedfst/8l1+Nn/YVk/9KZ69Y8ZXNxaeNSvmapp9pJYRkXmj6Q107uskmUlcRPgAMCijpmQnGVz4uGbWHT83+YlsdzoGoWuqaPaXdkrJZSxhocxlPk7YUjgY6e1eDftNf8jNpP8A15n/ANDave9BYyaTat5txOWjH7y6iMUre7IQNp9sCvBP2mv+Rn0n/rz/APZ2r2Y7IZ45X0t+zWP+KFvD/wBP8n/ouOvHvF+qWM+lRxafbWX2ErCIGWRPPjwnzgoBvGTnJPBOD6V7H+zb/wAiHdf9hCT/ANAjqgPWKKKKACiiigAooooAKKKKACiiigAooooATaKWiigBn418n/E7/kc/H/8A2EtN/wDSWWvq/wCteDeNfg34t1jxp4g1LS5tDfT9Smgl8nUDKXBji2A/KvB+Z+54NdeHcfejJpXXX1Rw4nmvCSV7M8Mor1r/AIUL44/55+E//Jj/AAqpqnwZ8X6Pp11e3Y8KR2trE00r4uTtRQSxwFyeAelCw6bspr8f8hvFWV3B/ceYUVo2N7DqN5b2lvq/hWSeeRYo1+yX4yzEADJj9TXo6/AfxswyE8J4/wC3j/CtamDlSdpyS9br9DKnjo1l7kW/Sx5PXrHwr4+KfhL/ALF2X/0fLS/8KH8cf3PCf/kx/hXUfDn4U+KfD/jqy1rW7jSWtbSyeyih08yZVSxYcMvqzd6IRjSUm5p6NaBVqSquKUGtUe3L0paatOrzz0hAKMigmo5JBFGSTgAZNAm7K7CQ/I30rmW+8frVmbUJZHO1tqdhVau6jTcNz5PMMVDEWUOgUUUV1HjhRRRQAUUUUAFFFFABRRRQAUUUUAFFFFABRRRQAUUUUAFFFFABRRRQAUUUUAFFFFABRRRQBtaOMWg9yav9qpaSMWafj/Oro7V5M/iZ93hlajD0HUUUVJ1EfrXFXl3eWOs3klv532ISKZ3EKFUO1c9XDHjGcCuvupvs9vJKqM5VSwRerYHQVy10tjc6P/bDnPmIkjxx3DCKRuAAQDg9hyK+fzRc/LFSs467202Omjpdtb6HS6h/yDrj/rm38q4j4Lf8ixP/ANfLfyWu21H/AJBs/GP3Tfyrifgn/wAivN/18t/6CtePif8AkfYX/BL80dVP/c6nqv1PRO5paTuaWvuDzAooooA4jxr8G/BXxG1G1v8AxJ4ds9VvLYbUkmU5K5zsbBG9c/wtkcnjmsLxD+zx4T8YfEJ/FGvafDqqrYWtjb6fNFiKDyJZXDDB5DebgoRtIUZBr1Sis5U4y3QHMeMvh54e+IOlw6d4h0qHVLKGVZo4Zs4RxwCMEHoSPcEg1Q0/4P8AgzR/GE3iq08O2UHiCYs7Xyp829gQzgZwrEE5YAE5OTya7Vq8f8ZfE3xP4Z+Klhpr2tpF4PuGhtkvIbQ3c8126yOYWInT7OSqrtJjkBzyRkCplyR96SA6bxV8E/BPjbxFba/rnh+31DWLYKIbuRnV0CkkYwwHc1Y0/wCEfg7SfGdx4rtPDtjb+IpyzSX8ceHLMMM+OgZhwWAye5NeI+Df2jPiB4g8D6v4vn0DSxojaBd6vp8yLsWOeKXats5892myp+ZwkW1kYbeRVvx18fPHHw3uNM0PVoPD974n8RWduugLaw3EcFxfSXgieN8uxCJDLC5JK5IfBGRjD21PewHteofDLwvqvjC08U3Wi2s3iG0XZFqG3EgGCADj72ATjdnGTjGTWHpv7Pnw50W31eCw8IaZaRatA1reJFDtDwsQWiHPyISoO1cDIBxXmtj8ePHmqajrN7Z6DZyaFp19f6fOstv5clsbeGQrLJIbnJLOi/uhCDskBDdz6P8AB3xtr/iX4X6d4u8YzaPYpqFlDqKfYFkiit4GhVz5jSOecljngAEDnG41GdOo7JAb+tfDTwz4it9Qt9S0iC7i1BLeO6jkziVYH3wg8/wsAR9K5HwT+zr4W8G+Mtd8Vy2seq+INQ1m61eC/uIgJLPz1RTEnOCBtOGPI3t0yc9lL8RPCsNo1zJ4l0dLZYYbgzNfRBPKmOIX3bsbZDwp6Mema6ZfmFbckJa2A4Cw+BPgDStYu9UtvCenJqF2LhbibytxlWcYmVgTgqwzlcY5bA5Oa13+zv8ADi+0nStNn8JWMlnpYK2anduiUsXKb87ipYk7SSPavSaKrkj2AihhS3iSONQiIAqqOgA6CpaKKsAooooASvlj9jo/8XI+Nf8A2FYv/R13X1M33a+WP2OR/wAXK+Nf/YVi/wDR15XmYj/eKXz/ACA7j4ha14V8Salc3a+NNHeSCCBYLQeKGs04lYzBhE+BuTADkEjHbFepeCI3t/B2hxyXkWoyJZQq15A++OYhBl1buD1B75riPHbaovi64/4R4zPqMumxw3itpiXsSRF5PLK7p4drZMmRlgRjKjv3nhHTxpPhfSLEfaMW9pFEPthBm+VAPnxxu45xxmtaN/aSYHgX7S//ACPdj/2DY/8A0bLXnGp+Hb3SdO0++uo1jgvgzQ/OCxC4zkDp94da9H/aY/5Hqx4/5hsf/o2WuN1vUbC68G6FYwXZku7EzNJH5ZAPmMG4Ptg13Ae7/s5/8k9b/r9l/kteot0ry/8AZz/5J63/AF+S/wAlr1GgCjqhj/s+5MxUQ+W28sMjbg5yK5jwzdahHc2tvePPHC6EQ/aIY1MmFzjKscHHOCOx9K3tavVs4YVkVWSaZYTvPA3Z/wD1fjWZb2lppWu6fBEssrSJIEDyvJ5QUDkAkhR2/EV83jdcVTlF2s0nr3OmHwNd7/gYPxu/5Fy0/wCvlf8A0F67jRf+QTaf9cl/kK4f43f8i5af9fK/+gvXcaL/AMgm0/65L/IV5eB/5KDFf4YHZV/3Kn6v9DQooor7g8oKQjNLRQBwmn/BXwRpHjCfxPZeGbGDXpXaY3ioeJGzukVc7Vc5OWABOTzya5/4R/s4+EvhLHbXNrYW9/4ghNwP7akgCTsssryEcEgEB9mepVQCccV63RWfs4XvYDltY+G/hjX9cl1jUtFtb7UZrB9LlmnTcJbVyS0LqflZSSeCD1PqaTwP8NfDXw1sZ7Pw1o9vpME7+ZL5IJaRuxZiSzYHAyeBwK6lulfMXib9pLxR4Om1zRtVt7CPxWt5bLpmnrpz+X9imvTbrc7/ALUVn4KfLmEhjjpnGc5Qpu7QHrun/AnwJpfiLUtdtvDVmmq6ksqXlw25zOspJkDBiQQcnjHcjpWr4F+Gfhf4bWdxbeGdGt9IhuH8ybydxaRgMDczEkgDgDOB2ryCX4xfEm28ZeAPC1zpuj6fqHiHUNShmuby1cD7PbRxzK6xR3D7HZGkXazt8209ODmaV+0x4raHxLb3mkaa+reDLPWrrxFFDHJHG5tiTZrBukLIsqlW3srAhHwBxWXtacdbW+QHq6/AD4drBrMI8Jad5erPvvEMZIdgxYFefkwx3fJjBweorY0P4V+FPDlvpFvpmiWtlHpMsk9kI1IMUjqUd85yxZWIJbOa8Rm+O3xN0vw1Bc32i6Kt1qmpaRY6VeTQPDDIL0OhZ4UuJWAjkVTu3jepwApBI+g4tWXR7HS4te1Cxg1G7ZLYMreTHc3JQsUhV2JOdrkJktgHrgmrhKnPZAcbrXwC8J33gW+8NaXp8WhxTaTeaNb3FupZrWC5bfKFDHnL4bnuKk0f9n7wBovhnVNBj8L6edO1aNI9QjaLi42YK55+UKRuULgKeRg10+j+OPDniKa2i0rxBpepSXUL3ECWd7HKZYkfy3kQKx3Kr/KWHAbg810C1pyQbvYDz5vgJ8P5NAGiN4VsDpQvE1AWu07ftCxrGJOuc7FCn1Gc5yc6Fr8JPCGn+NpfF1toVvB4ilzvvk3BiSNpbbnbuI4LYzjvXZUVfJHsAUUUVYBRRRQBxHxt/wCSN+Of+wHff+iHrj/2adUs9F/Z38L3l/dw2VpHbsZLi4kEca5lYDLE4HJA/Guu+OUnl/Bvxyf+oJeD84XFc7+yzHs+AnhIZzm2Y/m7V5kv97/7d/UXU5rS49JuvHVne2PjjTdXuLq98zy08SO5Qi4lfbHBvZZN0TpHswAvlAjrXvy145pFjqt9riWVvPe3PhqLWprwTLp0Syeas7syGcz8xrLuH+p3FVxk9a9jWtsMtGxnxd4gtm1PxpqcMTwxtJdygPPKsSD5ieWYgD86ztW0mfRrw2tz5ZfaGDwyLIjqRkMrDgjmtK/hs7rxpeLqM72tm93IZZI03MBuPAH+etVvE15FfaoZbeSNrfYqRRxKwWJFGFTkAnAA575rtA+2I/8AVr9BS9jSR/cX6UyZzHGzAZwucetTJ2V2BxOo3l1puralPbSTJZK6tcS+SjpEwRcnlwxG3aTgY/HNdNr3OhX/AP17v/6Ca5/VI7GTQ5tXlVjvjEssKTsscrYHykA4JOAvI54FdDrn/ICvMDjyH/8AQTXydJONPEK9043Xo7na/ih6/wCRyXwX/wCRZl/6+G/kK9BWvPvgv/yLM3/Xw38hXoK1pwv/AMijD+heP/3qp6i0UUV9UeeFcT44+D3gz4kX1peeJPDtlq9zajZHNcId2zJOxiCNyZJOxsqc9K7aipcVJWYHk3ij9m/wh408fWviLXNNttSs7XR4tIg0maAeREsczSq4wffbtxjH5V23i3wLoHjzSYtN8QaTb6rZwzpcxRXC58uVPuupHIIyRkdiR0JFdHRUKnFXstwOI034N+CtF8YS+KbHwzp9rr8jM7X0cWG3MCGcDoHYEgsACc8k1F42+CXgj4iaxbar4k8P2+r6hbxiKKeZ3BRAWYAAMB1Zu3euW+JnxU8Q+BPiT4e08pY2vhTUZbW0+2yWjXU0t5LK6i3+WZDDuRPlkKSAsTnAFeV6x+1B8SdN+Ft745i8N6fJpb6a95A1xamNbSUXEUaRSYu2ebKu4OEjKsozwcVhKpTjeLX4AfQsPwj8H23jqTxjHoFmviWQYa/2EvnbtLAZ2h9vG4DdjIzgmpNY+FPhLxD4tsfFGpaDaXmvWIVYL6RTvXaSVzzhtpJIyDg8jBrx3xZ8b/iD8OdeHh3Xbbw/eaxrWmwz+H7ixtJ0tnvDcxwS28gaYtLtWaOTKbSFViR6LpPx68feIPF3iAWHh2zm8OaPrd9otzuh2yRC3hb/AEgytcDeGkUHyxCDsYYYkZpe1prSwHp+k/AbwDoa64LHwvY2o1qCW1vhGGxJDICJIwM/IrZOVXA6egrSHwn8JLDfRLodusd9BaW1yq5Akjtf+PdTz0TPGKwPgn428QeKfhPpnjDxrdaJaLqFkmpqdOikt4bW3aMP+8aWR8kDktkAfhk9avj7w1IZNviLSm8sW5bF7H8on/1BPzf8tP4P73bNbRUGk7bgcnofwD8Jab42v/F1zptvqev3F++oQ3s0Q327MqqAOcHAHDEZGTjFaXh/4IeBPCeqXOoaP4X0/Tru4EyyywRYysuPMXHQKcD5Rx145Nd0tOqlTgtkB5vf/s+fDzVNB0rRrrwtZy6bpLyNYwkuDBvbc4Vg27azYJUnBwOOBXoFvbxWVvHBDGsUMShEjQYVVAwAAOgAqxRVKKWyAKKKKsApG6UtNbpSewHyz+y2xX49fG1O39qSH/yZnrufiHrnhzXNeFx/wmujyLbwxrFpn/CRmxG8O4m3GJ8/MrpyQdpiAH3zXC/st/8AJfvjb/2E5P8A0pnr1fxxeajZ+OM+HJJptYbTUW6t20sXkMcBkfynyZ4djFvNGAx3BeV+UGvDoa4Zer/MSOu8AqV8G6Mouob5RbJi4t7g3CScdRKeX/3u/XjpXi37TX/I0aT/ANeZ/wDQ2r3Dwfp/9k+GNNs8XCmGBYyLlVWTIHO4Ido+i8DoK8Q/aa/5GbSf+vM/+hmvah8KGeXX3h28sdNS+c28tsziNmt50lMbEZAbaTgkA/ke4NfQ37Nv/Ig3B9b+T/0BK8K1HVLb/hFxYLdQ3D+dHJEtvb+SQArBvMIA3Hpycn36596/Zz/5J8xxw15IR+Sj+lWB6lRRRQAUUUUAFFFFABRRVHVtRTSdPnu5OViUtjOMnsKAFvtVtNMh827uI4E9XbGfp6/hWKvxE0NpSn2tgP7xjbH8s14l4u8W3GoXkk88hZj0HZR6D2rlF8RN5n3v1oA+trO+gvoVlt5kmjboyHIqzXzz4H8ZTaXfRyo5MfSSPPDLX0Ba3CXVvFPGcpIodT7EZoAmooooAa33a8++LXxUtPhjo6TGP7bqVw2y1s843nuzHso/mQPp3V0zrBIY08xwp2pnG446Z7V8weKvg/8AFDxT4yl8RPLZ2t3vzb+Xef8AHunQKp29h37nJrvwVGlVqXrSSiu/U83HVqtOnajFuT7dDp5/2iNTggmkMegO0duJfLjvJGLSHOIVwnL5HPYZHNUta+OV7rVjrGk3K6CLaREsnljvpAJfOG1vLOzqgbJyOPeuUX4F/FVVVf7Ri2rc/a1H248TZz5nT73v1rtdJ+GviK00uKC/8Lx6jc+et3Pc/wDCTTx+dcjH74qFwG4H0xXrVKeDpWlBqXo/8zx4VMZUupJr1R5Tpug6BpOqpeq9ip0/UIow7alIyk5VhIAIuVBIB78GvXYf2h2UoJpNKg/fy28jZmYR7c+W/C52OAMHHBIyO9WH8C65ItyreDkK3MgmnH/CWXP7xxjDH5OSNq8+wrD8ZfC3xt4gt3XTNPGiy3Hy3Ttr8t0tygGFVg6duxzSlUo4qaVV/NtaBGnXw8W6a+5Dda/aivdLt7Wa30/T9Q3qTPHG8qPbkHo25cEHqCDXuHgnxfY+OvDtnq9g37qdMshPzRt/Ep9wa+bJvgh8V7hp3l1OORp4RBMWvifMjGcK3HIGT1rqvgr8MfH3wz8RFpo7OXRrr5bqFLnp6SAY+8P1FTisPg/Y3pTXMvPc1wuIxarWqwfK/LY+jKKb6U6vnT6Ua3eszWZ9kaxDqx5+laZrn9Sk828cjovFbUY80jzcwq+zou270K1FFFekfGBRRRQAUUUUAFFFFABRRRQAUUUUAFFFFABRRRQAUUUUAFFFFABRRRQAUUUUAFFFFABRRRQAUUUUAdBpq7bSP6VZPWoLNdttGP8AZFT9q8mW7P0CiuWnFeQ6iiipNSJsbevy1x63XhcXs10lrbvdxyfeWEF2fg5HHXnrXY47Y4rkZJnj1q6V2vYE81dogsy8b/KvJbYcnPfPavDzKTh7NpJ69Ve34nRRtrv950moH/iWznGP3bH9K4n4K/8AIsz/APXy3/oK122of8g2f/rm38q4n4K/8ixN/wBfLf8AoK14mK/5H+F/wS/NHXT/ANzqeq/U9D9aWk/ipG6V9ueYLxijFeHeIvHWvWWvahBDqEkcMc7oi7EOAGIA6Vnf8LF8Rf8AQTf/AL9p/wDE18rPiChTk4OL0I50fQOPejHvXz//AMLG8Q/9BOT/AL9p/wDE0n/CxfEX/QTf/v2n/wATWf8ArFh/5WL2iPoHFYVx4F8OXfiGLX59B0yfXYQBHqUlpG1ygAwMSEbhxx1rxv8A4WJ4j/6CUn/ftP8A4mk/4WL4i/6Ccn/ftP8A4mh8Q4d7wf4C9oj1m1+GXhHT7i/ubbwvo1vcagjJeSw6fEjXCsQXWQhcsGIBIOckVq3Xh3Sr+8sby602zuLvTyWtJ5oEd7YkYJjYjKZHHGOK8S/4WJ4i/wCgm/8A37T/AOJpP+Fi+Iv+gnJ/37T/AOJpf6wYf+R/gHtEeuzfDnwrNrk2sv4a0d9XlDLJftp8RnYFdpBfbuOQcHnkcVqLoenJo40hbC2XSlh+zCyEKiERY2+XsxjbjjGMYrw//hYniL/oJSf9+k/+JpP+Fh+Iv+gpJ/37T/4mhcQ4ZbQf4B7RHr0nw98LTW7QSeG9JeBoYbdo2sYipihOYUxtxtQ8qOi9sV0a52jmvn7/AIWL4i/6Ccn/AH7T/wCJo/4WL4i/6Ccn/ftP/iaa4iw/SLD2iPoLHvRj3r5+/wCFieI/+gnJ/wB+0/8AiaP+FjeIv+gnJ/37T/4mn/rFh/5WP2iPoLijNfPv/CxfEX/QTf8A79p/8TR/wsbxD/0FH/79p/8AE0v9YsP/ACsXtEfQI9qdXDfC3XL7XdJu5764a4kW42KzADA2qccD3ruOtfR4avHEUo1YqyZpuI3evlj9jn/kpXxq/wCwrF/6PvK+p2718r/sc5/4WR8a8df7Vi6/9dryubEf7xR+f5DPX/iJ4b1G81xdU07Tbq4kS18qSa11xrAsoYsEKhCGwSSCTxk9Mmus8FahHqvhHRr2Is0VxZwzIZJTKxDIpGXIBY+5AzXlXj7TYbzxVND4ll8HuYrJZbS51vRlkZtzuPLVnbou0ZAOfm6DjPrHg29l1Lwnot3Pb/Y5p7OGR7fZs8tigJXb2x0x2rek71JAeC/tLf8AI92H/YNT/wBGy15LXrP7S3/I92B/6hsf/o2WvJq7QPp/9nP/AJJ63/X5L/Ja9QbpXl/7Of8AyT0/9fkv8lr1BulAGdrU1rb6bPJfKslqqkurKGBHpisjQbjQ7e6jj0u3iSW4By0EWMADPzH0/qa2tTUvYXAVVcmNsKy7geOhHf6VgeHbppLi38ybUQ7R5MM9p5aKccgtsGMfWvn8VKUcXBKK162u1r3v+h0QS9mzF+Nn/IuWv/X0v/oL13Gi/wDIJtP+uS/yFcP8bv8AkW7T/r5X/wBBeu50X/kE2n/XFf5CvHwP/JQYr/DA7Kv+5U/V/oX6SlrH8UXk1h4e1C4t3Mc0UDujgA4IHB5r7OpNU4Ob6HlmtzRzXgH/AAsfxJ/0FH/79R//ABNH/Cx/En/QUf8A79R//E18z/rFh/5X+Bn7RHv/ADRzXgH/AAsfxJ/0FH/79R//ABNH/Cx/En/QUf8A79R//E0v9YsP/K/wD2iPf+a5mH4b+FLeHVYI/DOjxw6swbUI1sIgt4QSQZRt/eHLMfmzyT615N/wsfxH/wBBR/8Av1H/APE0f8LJ8Sf9BR/+/Uf/AMTS/wBYcNLeL/APaI9c0rwD4Z0E2B03w7pNh9heR7Q2tlHGbZpBtkMeF+UsAAxGMgc1ch8M6RDqV/fx6VZx3+oKqXl0tugluVUbVEjYy4A4GScCvF/+Fk+JP+go/wD36j/+Jo/4WP4k/wCgo/8A36j/APiaX+sGF/kf4B7RHqul/DHwfocZj07wpotjG08d0Ut9PhjHmxkmOTAUfMpJKnqMnGK277R7LVJLR7yygu2s5hcW7TxhzDKFKiRMj5WwzDI5wT614f8A8LJ8Sf8AQUf/AL9R/wDxNH/Cx/En/QUf/v1H/wDE0LiDDW+B/gHtEew6R4K8PaDNbS6XoWnadJaxPbwNaWscRjiZ97ou0DCl/mIHBPPWt7JrwD/hY/iT/oKP/wB+o/8A4mj/AIWP4k/6Cj/9+o//AImmuIcOtov8A9oj3/mjmvAP+Fj+JP8AoKP/AN+o/wD4mj/hY/iT/oKP/wB+o/8A4mq/1iw/8r/APaI+gOfWjn1r5/8A+FjeI/8AoKP/AN+o/wD4mj/hY3iP/oKP/wB+o/8A4ml/rFh/5WHtEfQNFZug3El1odhPK2+WS3jd24GSVBJrRr6iEueKkupocL8df+SL+OP+wLd/+iWrD/Zd/wCSDeEf+vX/ANnatf4+SGP4K+OCOv8AY90PzjYVgfs6wXUn7PXhRLGeO3uWswUllj8xV+cnlcjPGe9cEv8Ae/8At39RdRP7Pv8Awv4siu5tOvrbTLrVSokTX3eINLIdrfZ9mAGZh8oOAW5PU16+teA6Lb2Np4qtdRltfCr6+dZa3mt7fR0j1DBmZGm37iwJH7wtjlSfXNe+r0FbYd3uM+H9eYtreoE8n7RJ/wChGqK/eFW9Y/5C17/13f8A9CNVK7QPuyL/AFafSnN92kj/ANWv0FKehqZbAcTJqHheG7u7pbSFry2kIPlwAyO+AflHc8/nXR65g6HegD5fIf8A9BNc9cSvDrF+sj3tspdWT7HZF0cbF5LeWctxjr0wO1dBryj+w73/AK4P/wCgmvl6UpSoYhNJWT2Vu/mdrS54avp5nJ/Bf/kV5f8Ar4f+Qr0A15/8F/8AkV5f+vh/5CvQDS4X/wCRPh/QrH/7zU9RRSUZ4OK8O8QeP/EFnr2oW8OotHDFcSIiiNDgBiAOVr18bjqeBgp1E3fsec5cp7lmk5rwD/hY/iT/AKCj/wDfqP8A+Jo/4WP4k/6Cj/8AfqP/AOJrx/8AWLDfyv8AAnnR7/zRzXgH/Cx/En/QUf8A79R//E0f8LH8Sf8AQUf/AL9R/wDxNH+sWG/lf4B7RHsl54N0HUPEFtrt1ounXOt2qeXBqUlqjXES8nCyEblHzNwD/EfWsz/hVHgvzL+T/hEdCEmoKVvG/s2HNyCwYiT5fmG4A89wDXl3/Cx/En/QUf8A79R//E0f8LJ8Sf8AQUf/AL9R/wDxNR/rBhv5H+H+Ye0R7VqHhvStYvNPvL7TLO8vNPYvaXFxAryWzHGTGxGUJwORjoKpTeAfDNx4hOvS+HdKk1xlKtqTWcZuSCmwgybd3KfL16cdK8i/4WR4k/6Cj5/65R//ABNH/Cx/En/QUf8A79R//E0f6wYX+R/h/mHtEe2x6Dp0WijR49PtU0kQ/ZhYrCog8rbt8vy8bduONuMYqj/wgfhva4/4R/S/nECt/ocfzCH/AFIPy8+X/D/d7YryD/hY/iT/AKCj/wDfqP8A+Jo/4WP4k/6Cj/8AfqP/AOJqv9YMM/sv8A9oj34LS814B/wsfxJ/0FH/AO/Uf/xNH/Cx/En/AEFH/wC/Uf8A8TVf6xYf+V/gHtEe/wDNHNeAf8LH8Sf9BR/+/Uf/AMTR/wALH8Sf9BR/+/Uf/wATR/rFh/5X+A+dHv8AR2rwD/hY3iP/AKCj/wDfqP8A+Jr0H4W+ItR8QW9+2oXDXJjZAmVVcZBz0ArrwucUcXUVKMWmxqSeh6BSNS0jV7/Qo+V/2W/+S/fG3/sJyf8ApTPXrvxD8N6nqGvw6hpumXl5JDaeUZbTXWsCcsSUKBSG7HJPevIv2W/+S/fG3/sJyf8ApTPXbePNJhuvFxh8Tv4U+WyEtvqGt6Ksm4eY/wC6R3fnZjcwyP8AWKccmvDw7thvm/zA9T8D6kmreEdJvI95Sa3Vx5kxmbkdC5ALH3xXiX7TX/I0aT/15n/0M17X4CumvPBujTNbx2ha1j/cQxeXGnGMIuBhfTgcY4HSvFP2mv8AkZ9J/wCvP/2dq9qHwoDxyvqL9ndSvw6TPe6lP8q+Xa+pf2fcf8K5tyO9xLn86sD0uiiigAooooAKKKKACua+ISNJ4VvAo3H5Tx/vCukyKpaotrLYzRXbqsEi7W3kAc/WgD5S8SRvubg1yyxyeb0NeueKvCclreSxtGduSUYjhl7EfhXML4YIkzs70AM8NRvuXg19MeD1kj8N6eJM7vLzz6Ekj9MV5L4B8Ff2nqCiUFbeMbnbnnpwD6817hGqxqqKMKowAOABQBJRRSZFAC0VymkfEfQtc8Ya54YtLl21nRlje7geJkADruBViMPgEZ25xuXPUUzw/wDE7w14n0m41O01OOLT4LtrM3N1+4R3ADAoXxuVlIZWHDAgjIp8rXQnmj3OuorBbxVZpqtzYy74Eht4bhryVlWBhK7oqq27O7KemPmXBPZlx460C1udJhfV7MNq0jRWO2ZSs7KMsFIOD/jgdTRZjujoKWs3+3tN+0XFuNQtTcWy754vOXfEvqwzlR7mo/8AhJdIa1ubkapZm3tm2Ty+emyJs4wxzhTn1oswujWorJuPEukWtrDczapZw20yh45pLhFR1PQqScEcjp61Yn1ixtbu3tZry3hurjPkwySqry467VJyfwpWYXReoqha6xY39xcQW15b3E9u22aKKVWaM+jAHg8Hr6VfoGRzMFiZvQZrmWYuxY9Sc1valJ5dpIfaufFduHWjZ81m09YwFooorrPnwooooAKKKKACiiigAooooAKKKKACiiigAooooAKKKKACiiigAooooAKKKKACiiigAooooAKP4hRTo/mkUe9J7FQV5JG9ZSCSHIOcEj8qs+tZmituhcZ53ZrUNeXNWlY+7w8+elFi0UUVB0Faa4jt43llYIiqWZj0AHc1wGqf2VqGqNdx6nZzu7bVV7rAQEJtI56gqeO+816IcHINcVqEM0uqXUNvJObWSRROiW6thtq8K5YYGMdjXzOcxlKMFa6v87nXh3Zs6rUP+Qbcf9c2/lXjfgH4hQeE9JltZrWadmmMgaMjGCB/hXsmort024H/AEzb+VcP8GIkk8NTllDf6Qw5H+ytfN5xRxdbOcLDCVFCXJLVq/bod+FlThhajqR5lddbdyH/AIXbZ99OuB+VIfjdZf8AQPuMfhXo/wBkh5/dr+VBtYdv+rX8q9L+z89t/vkf/AF/mZe2wf8Az5f/AIF/wD5s1jUF1TVr27RWRJ5mkCt1AJJqnWt4rUDxNqmOP9Kk/wDQjWTXxcozjJxqO8lu9rs8Oo05NxVkFFFFZmepyHxO8SXng3Q7TXYZFTT7K9hOphxwLR2EckmcHAj3CQn+6jc1xvibxd4qnh1jUdNuLuHQrfWxYyTaVZR3d3a2sUDCWZI2U72NxtUgK5EYO1d2SPVtX0q01zSb3Tb+BLqxvIXt7iCQZWSN1KspHoQSPxrAHw40qHw7YaLaz6nYWlkWaN7PUZ4pmLElt8gbc+4kk7icnmvRoVaNOK51r6dP8xpnDXGveI9U8a+B4NK8bJNo3iHS7i/8+202HY/kpbYaPduIWQzM2GJIyBmsfWvjD4m8P2M9tKVn1Hw9r9wNcmkt0w+kxyQyGRQhAUizu4ZM8HdEwx1Fes6X8P8AQtFk8PvZWQt/7Bs5LDT1R22wwuIwy4zg5EScnJ49zUV18N/Dt5r2s6vNpySX2saeNMv2LHZPBgjDLnGSDtLYyQoGcAVvGvh7rmjdLyXf/INBvgLXL7xFDrd/cyxvZNqk8GnrGmMQRYiyW/i3Okjg+jgdq6aRmWN2jAdwCVUnAJ7DNZem+FtP0fwxHoFms0GnR25tlCzv5qqQQSJM7t3JO7Oc85pF8MWqshFxffLIso/0yX7wiMQz83I2nOOhb5uvNcE/Zym2tEI43Q/jZY694T8Sa2lhNaL4eilj1GKZgTBexbxNa+jshUfMpwd6461X0H4gTeE0tPCurW17feI7eTTYCzy+Y12LoMWnDEn5YzFdZBOcQcfeWtCb4K6HGunQaZ5mm2MV3a3N9bqWk+3i3LyRCQs33/OMcjSHLOI9rZ3ZGjq3w/h1T4paD4tdYw2k6fdWif33eV4yCRjGFCPg54LnHU12uWGu0lo9fu2XzHdHY/jRRRXki1Ciij8aA1Ki/tQaT8HZbrRbrRNQ1O6ZhPvgKqmCq4GT9PSj/hv7Sf8AoS9U/wC/6f4V7R8F0D6HekjJF1/7ItejeWvoK/ScupYiWFg4TsrdjojsfJ//AA39pP8A0Jmqf+BCf4VD+w1qy694q+K+qJE0K315a3Ijc5KB5LpsH3Ga+tmUYPFfLX7HX/JSPjUB/wBBWL/0dd10Sp1YYml7SfNv08iz1n4g/wBsQ+KdPvray1fVbK1EbJaaXPDHEG3N5hmV3QtldoXJKjk4B5rtvCa6jH4Z0ldVmW41QWsQupY8bWl2jeRjjGc9K8pvPhTr0niJ9QOk6PfJJe3kty82s3ER1CCSR2himQW7LiNTGAMsPkwODXr+kW7Wum2kLWkFk8cSqba1bdFEQANqHauVHQHaOB0HSvSo83PJsD55/aW/5Hqw/wCwbH/6NlryWvWv2lv+R7sP+wan/o2WvJa7QPqD9nT/AJJ4f+vyX+S16c1eafs8qV+HSZ73Up/lXpm0UAZeu38Fjp8nn3cdl5gKJNIwAViDjrXK+HksG8QWzWdzZu+1mZo7rzJHyvIwevPO7rx7muw1RYf7PuDMdsOxt7AkELjkjHtXMeHbW4k1C0eYzvBbxkQBrZYQARj5yCc8Y4AA9umPlcwjKWNpddV8tTspNKnIzvjYf+KbtP8Ar5X/ANAeoNP+L2l29lDEbW6LRoqEqgxkD61P8bf+Rbtf+vpf/QXrr9HsbdtLtD5MefKX+Eegr5mpQx9bP8R9SrKHuxvdXv8AlY9GM6McHD2sHLV7O3Y5H/hc+lf8+l3/AN8D/GqGvfFfTdU0W9s0trpJJ4WjVmQYBIxzzXpn2GD/AJ4x/wDfIrF8Y2kMfhbVSsSKfs0mDtH9016dbA57GlJzxcWrO/uf8E5JVcJZ2pv7/wDgHz5RRRXxnQ8IKKKKA1PPfGXxCk+HuvavPqkgl0RdCk1G0iRf3vnwM3nRqcfMXWSHaCc5Vsda5uz8QeM7DxVp+meKdYudIN1BFDaTWWmxTWF3cNAplV5cFo5VlLiNTsQqg4dicej+KvA+jeNJNLk1a1Ny+mXcd7bESMu2RGVlzgjcNyqdpyCVHHFQ6h4B0vVNeh1W6kv55IZVnjtXvpTarIowriHdsyOvTrz1r0qdaioWcdba6L5WHoedLrXjPT9N+IF8/iaXUf8AhG5ykNuLC3QyokEUzZOOpDuvUdqbqnxwvtP8R+MWWKN9GsdLJ0ldo3Xd9HHC7xhh1LPdwQhQD86sOvFesWfhvTrGTVnitgf7VmM94rkssrGNYzweANqKMDjiuXsfgj4P03RfD+k2+mSLZaDff2jYq1zKzJN53n5Zi2XHm7W2sSMovHyjGsa+Hd+eP4Lsv8gujs9NjuIdPtY7yYXF2sSrNKi4DuANxA7ZOTWd4y8Sf8If4av9aa1e8gsY/PnjjYKwhU5kcZ67V3NjvtwKv3mnR3t1ZzySTo9q5kQRTMisSpXDgHDjnocjOD2rBuPh3pV3apbXMupXFststq8U2oTOsiCQSfOC3zkkYJPJXKnjiuCHs+ZSmxHMa18Rm8WeC9CfQ1ntZfFl+LHSbgOUdrbDyPdjkFR9nilkTucx5wWwOi8K+Mr/AFzxRrmjXWjrZrpIiV7uG88+NpHBYRH5VxIE2ORzgSIf4qi8P/C3TPDPiiPVLAtDaW8FxHa6eMmO3eeUSTumTwGKRgKAAuDj7xFXfB/w90nwK16dJa+RLyaS4miuL6WePzZHLu4V2IBZmJJFddSWH5HGC9P69Bs6aiiivMFqFFFFUt9Rkul/tx+CNP020tTpmtyGGFIywt0AJCgZ5erf/DeHgf8A6BOuf9+E/wDi6948N6bayeHtMZraFmNrESWjBP3BWl/Zdn/z6Q/9+x/hX6nRo4v2cbVFsuh06nyX8Uf2yvCHjH4c+JNCs9N1eK61CwmtonmhQIGZSASQ3TmvbP2Y/wDkhHg7/ryH/oRqX9oOxtbf4JeNZI7WFXGmTYIjH93HpWF8HdHvNa/Zf0HT9PmWG8utJ8uOSSRkALZzllBI78gZpU41Y4r97LmfL0Vuotbk2hx+LrP4gar9ottTntrya38rUJJ4GtEjS5nZljUNuUGAwrgJkspyf4q9kH3a8j8I/DfUtB8RJcS+GtBi0+OZXs4odWnlGnKE2t5MbWwUsSztnK/fIr1z+H8K9HDxaTuUfDmsf8ha9/67v/6EaqVb1b/kLXv/AF3f/wBCNVK6wPu1fur9KZNMkMTPIwRFGSxOAB609eUX6UpUY6VLvbQDzXXpdL1K4uJo9UsZJ5JMI0l3xGu0BSBnHDZOOh7967fXP+QHe/8AXB//AEE1y2qWb3N/qNvbSXRtpXAuVjt1Yhti8I5Ixxt7HHbFdTrH/IFvR/0xf/0E18Zhoy5cTKStdbrZvU9CTV4Jf1seT/D/AOIFj4V0eS0uYJ5JDMz5jUEYIHv7V0//AAujS/8An0uv++B/jSfBu2ik8NSl41f/AEhuWAPYV332KD/nin/fIr53h/B5zLLaMqGJjGLWicL2+dz0MZVwscRNSptu/f8A4BwX/C59L/59LoD/AHB/jXlWsX6alrF9dxBljmneRQwwQCxPP519JNZW+P8AUpn/AHRXzr4owPE2rAcAXUo/8fNdGZYbM6MYvG14zj0SjbX72ePip0JQtSg0/W/6GZRRRXzx5moVynxG1vUvDOj2Wr2Lx/ZLO/gbUoXj3GSzdjHIVPVSnmLNkdRCV/irq6qavpVrrml3enX0Qns7uJoJoz0ZGBBHHsa1pyjGScloGp434m8d+MNSbUtT0pr618I2+svpr3ejWEV3fxxQAJLcJG4bev2nzkYbGYJACq/NuF3VNc8Q6h408FW+jeNd2i+IrS4uRNBYQuNsUUbKyFgSA5YnBzjp2rtf+FZ6RB4Z0rQLKXUtL03TIhDbrp+oTQvsxjDurBnz3LEkkk9TV2z8B6Hp83h+W2svIbQYJLbTwrtiKN1VWGM/NkKOTmvRdegl7se/RdtG/MDyzxF8YNe0u80/TLaW1e/steujq+4Lj+yopo4zjj5ZP9Nsz0GQrnPr6R8P/EV14qh13UZHU6eNXurOwUKoIit2+zuSR13TRTMDn7pX6Ul58L/Dt9qniHUZ7FpLvXrVbK+kaV/niC7cKM/ISMZK4J2qT0Famk+FNO0HwraeHdPiktNKtLRbKGOOVw6Rqm0YfO7dgfeznPOc1FarQlTUYRs/6uO5rlvQ5rg9L+MGl6heW1rKgtJVs76+1AyygLp8drKsTmTIBGXJ2kgAhHP8NdNJ4ZtJJnkM98CzW7EC8lA/ctuQY3dCfvf3v4s1w6/Bv7ZN45luri3tj4nv4GnEKs4NlFtzA2SMGRmuC2OP37de+dGNCzVRiKvhv4ga5Y6f4WuNS0t7i48XXpmhtpbopPZRylpEi8opwIbdVMmWA3K2OWAPrNc3qngHStW8UWXiGVr6HU7SD7NG9tfTQoY94coyKwVgWC5yOdoz0FdJWdedObUoK3cegUUUVyC1Cm6f+0h4c+DeoXWl6tZ6ldXFwkc4a0iVkC/MMZLDninfjXqPwZtYrm11PzYo5cPHjcoOODXtZSqksVFU3Z6+ZpDc8+/4bw8Ef9AjXP8Avwn/AMXQf28fA/8A0Cdcz/1wT/4uvov+y7P/AJ9If+/Y/wAKb/Zdn/z6Q/8Afsf4V+hexxf/AD8X3Gx8ofsb+ILfxV8XPivrVosiWuo3Iu4llADBXnmYA++DXtvj6TXIfGWi3dvY6hqujWhDPa6XNCvzlZA5nWR13DBiKc4GHJ5248k/ZbUR/Hz41qoCqupOAAMAD7TPXd3nwj1mbXLu6k0XRdTiuby6lupJ9YuIXvoZHcxRzKtuw2xq+0Llhx2rlwql9XUd3d/mC2PVfCbXjeHtPOo8XpiBlXeHKk/wlhwxHQkdSCa8M/ac/wCRn0n/AK8z/wChtXvujW7Wml20L2ltYtGgU21m26GP/ZU7VyP+Aj6V4F+01/yNGk/9eZ/9DavcjsrjPHK+qfgCu34a2RxjM0x/8fNfK1fVnwFUr8MdM/66Tf8Ao1qoD0SiiigAooooAKKKKAM/V9Uh0ize5m6KMBR1J9K8Kl+Ilz4x1DUZymNOt5fKt5A/EhGQ5Vf7oOAD35/HZ/aA127kittDsZWguL1xbLKvVNwLSOPogP51w1wkOk2UVnap5VvCgREXsBXTyxjT5nu9jDmcqnKtludNaeP7nTYfs0kcN9aA8QXS7gvPY9qlX4gaQG3Dw7CG6jNy5H5V5hfagdxwapLqB3fermNz1yXx5e6k0YVks4UOUhtR5aqfX3/Gu68I+PGuGitL9txY7Vn7/Rv8a8B03UG3DmtTwtrkqeJtS024lZ96pd2wY/8ALPAVgB6BgP8AvqtIU3JN9jOU1Fq/U+qBxQ1c/wCDdWbUtHQO26WE+WxPUjsfy/lS+LvFlv4TsbeeW3uL25up1tLS0tVBknmYEhBkgDhWJJIACkk8VnZvQtu2rPKfFPwd8SX+s+INW0a9ttP1HUdWYJdCV1cabPZ29vcgEDiQNCsidRuiTnk1a8SfDTxLb6bd6Z4dSxtdLudRMpjhWHzYrdbKKGNYvOhliX548MCjfIflwa7XTfiZp7XWq2mtxN4ZutNhhubhNUniVBDKZBHIJFYqQTFIOuQVOe1Xv+FkeFV0ldU/4SHTf7Oac2q3P2tNhmAJMec/fAViV6gKT2Nbc0tLo5+Wm1ueTWHwT19vD2lWN/8AZLySPT/DVrd+ZIWErWN6ZrrOVG4FDxxyeMCt7S/htrGh6jp9x/Z+n3sNr4lvr+KIyBPItbjdtKfJ95S27aOpHWvQpPHXhyLUrCwfXdOW+voxNaWpuk8yeMqzb0XOWXajnI4wpPasLWPjh4D0PSTqdz4p0n7CtzDaNMl5GQskpGzPzcAg7s/3QW6DNHNOWlh8kF1PMF+A3iO4k15rzVLye4aHWI7FvPtUt5PtfmBEkCWomKfOpIeVgGiU4OBjqte+HGu6Z/a//CL22m2kV5Z6daCJVjUqsUjecyK8bR7wjDYXVlyBlSBXodr458P319b2VtrdjPeXCK8MKXCs0gZPMXAB5ynzgdSvPTmo9P8AHmgazpupXmk6tZ6vHp6eZcfYLhJtmU3qCVOASpBGexFLml1QezhsmeafDz4N6npraDJ4jhtL/wCww6wjiYxyt/pV6JouFiROIxg7UUA8AYqbwL8PfEfhHXLJtQ0vT9dhl0rS7N7+W7PmWL28RSRUVkO5SxLggqSXbIrSn+Oa29jazz+Hb6zlvBYy20d1LFtlhuLuC2LhkZ8FDcIxUgZ6Z5yO2t/HHh681C6sotb0+S7tUeWeFblC0aIdsjEZ4CkgMex4OKbcuqFGMNLM8s+BPwa1r4danYy6xeXV5Lp+ktpgn8618iYmSJi+yO2jlYkx7gZZHI3uMsWLV7tXHx/FbwZLpX9px+KNHk0/zRALlb6NozIU8wKDnklAXAHVRu6c10ljewapZwXlrPFc206LLFPCwdJEIyGVhwQQcgj1rOTcndm0UoqyINZb9wF9TWPWlrTcxr9TWbXdRXuHyOZS5q7XYKKKK6DywooooAKKKKACiiigAooooAKKKKACiiigAooooAKKKKACiiigAooooAKKKKACiiigAooooAKdD8pZsdFPP6U2l/5Y8fxN+gqZbGtLR83Y0dEb5pB9DWwOlYejN/pDD1Wtv+GvPrL3mfXZfLmoIdRRRWJ6QzjGa43WFnsL+e7W3X7PuVndb94zjAGfLC4/XnFdbMrtCwjIR8fKxGQD9K4G+Cxahcy3P9mvfQyqUWS0HmzcLypznPYEdxXzmcT5YQVnvo9NPvOqgtWzt9Q502c/9M2/lXE/Bb/kWJ/+vlv5LXbaj/yDZ+37s/yrivgr/wAizP8A9fLf+grXlYn/AJH2F/wS/Q6qf+51PVfqeh9zQRmjuaWvuDyzgdS+Emn6lf3N295dK88jSMqlcAk544qv/wAKX03/AJ/rv81/wrfvPiJoNjdS2899smjYo6+U5wQcEZAqL/hZ3hz/AJ//APyDJ/8AE183OhlXM+blv6k2iYn/AApfTf8An+u/zX/Cj/hS+m/8/wBd/mv+Fbf/AAs/w7/z/wD/AJBk/wDiaP8AhZ/h3/n/AP8AyDJ/8TUfV8p/u/eK0exi/wDCldN/5/br/wAd/wAKP+FK6b/z+3X/AI7/AIVt/wDC0PDn/QQ/8gyf/E0f8LQ8Of8AQQ/8gyf/ABNHsMp/u/eO0TE/4Urp3/P9d/mv+FJ/wpbTv+f68/Nf8K3P+FoeHP8AoIf+QZP/AImj/haHhz/oIf8AkGT/AOJo9hlP937wsjE/4Urpv/P7df8Ajv8AhR/wpXTv+f67/Nf8K2/+FoeHP+gh/wCQZP8A4mj/AIWh4c/6CH/kGT/4mj2GU/3fvCyMT/hSum/8/wBd/mv+FH/CldN/5/rv/wAd/wAK2v8AhZ3hv/oIf+QZP/iaP+FneG/+gh/5Bk/+Jo9hlP8Ad+8LRMT/AIUvpv8Az/Xf5r/hR/wpfTf+f67/ADX/AArb/wCFn+Hf+f8A/wDIMn/xNH/Cz/Dv/P8A/wDkGT/4mj6vlP8Ad+8Vo9jF/wCFK6d/z/Xf5r/hSf8ACldN/wCf27/Nf/ia3P8AhaHhz/oIf+QZP/iaP+FneG/+f/8A8gyf/E0fV8p/u/eO0S34U8KQeErOa3t5ZJllk8wmTGc4A7D2rerM0TxBY+IoJJrCbz4422M21lwcA45A9a1K96hGnGmlS+HpYoQ9/pXyx+xz/wAlJ+NJ6/8AE2i/9HXlfU57/Svln9jj/kpXxq/7C0f/AKOu65MR/vFH5gfU69KWiivUA+af2lv+R6sP+wan/o2WvJa9Z/aW/wCR6sf+wan/AKNlryagD6m/Z+/5JzB/18S/zr0qvOPgCu34bWfvNKT/AN9V6K1AEF4u63kAGSQQBnHb17VyWhrPpurWdrLbiGJkcIF1B5QMDpsKD/62PpXRa4ly2nym3KlgpJRo9+8YPy4yOtcr4Wkgh1K0FuNOd5o285bG2CMhAB+Y54GeOec496+XzCpbF0orR3WtlrqvmddJe5IrfGz/AJF21/6+V/8AQXrt9F/5BNp/1yX+Qrh/jd/yLlp/18r/AOgvXcaL/wAgm0/65L/IV5+B/wCSgxX+GB1Vf9yp+r/Qv1S1bTk1bTrmzkZkSeNo2ZeoBGOKujpVa+vodNtZbmdtkUSl3bBOAOpwK+0qKLi1PY8o4P8A4Uvpn/P7dfmv+FH/AApfTP8An9uvzX/Ctj/haHhr/oI/+QJP/iaP+FoeGv8AoI/+QJP/AImvnPq+U/3fvJtEx/8AhS+mf8/t1+a/4Uf8KV03/n+u/wA1/wAK2f8AhaXhr/oIH/vxJ/8AE0f8LS8Nf9BA/wDfiT/4mj6vlH937wtExv8AhSum/wDP7df+O/4Uf8KV03/n9uv/AB3/AArZ/wCFpeGv+ggf+/En/wATR/wtLw1/0ED/AN+JP/iaPYZT/d+8LRMb/hSum/8AP7df+O/4Uf8ACltO/wCf66/Nf8K2f+FpeGv+ggf+/En/AMTR/wALR8Nf9BA/9+JP/iaf1fKf7v3haJjf8KW07/n+uvzX/Cj/AIUrpv8Az+3X/jv+FbP/AAtLw1/0ED/34k/+Jo/4Wl4a/wCggf8AvxJ/8TS+r5T/AHfvFyxMb/hSum/8/t1/47/hR/wpXTf+f27/ADX/AArZ/wCFpeGv+ggf+/Mn/wATR/wtLw1/0ED/AN+ZP/iaf1fKe8fvHaJjf8KX0z/n9uvzX/Cj/hS+mf8AP7dfmv8AhWz/AMLS8Nf9BA/9+JP/AImj/haXhr/oIH/vxJ/8TS+r5R/d+8LRMb/hSum/8/13+a/4Un/Cl9O7X13/AOO/4Vtf8LS8Nf8AQQP/AH4k/wDiaP8AhaXhrtqB/wC/En/xNH1fKv7v3hZHRadZLp9hbWqszLDGsYZupAGOat1XtbqO9tYriFt8UqB0bHUEZBqxX0cbcq5dijzj9on/AJIb42/7Bk38qg/Zr/5Ib4N/7B6U79pJivwJ8akdf7Ok/mKX9m9QnwN8Fgf9A6M/pXD/AMxn/bv6i6npdI3Slor0hnw3q/8AyFr3/ru//oRqnVzV/wDkLXv/AF3f/wBCNUvWgD7ti/1a/QU+mx/6tR7U2VXaNgjbXxwSMgUnsBxfiJZ9NuLy9S2UwcPI66g8JOAAWKBDyB7kkAewrptZbdot5/1xf/0E1xOqSGC+vprk6Y9/A6+UsloDNNhQQVycknoMZ5H4V22s/wDIFvPXyX/9BNfG4epzxxLWis9NPPsd0lbk/rscj8F/+RZl/wCu7fyFegdq8++C3/Isy/8AXdv5LXoPaunhf/kUYf0Hjv8AeZ+oda4HUfhHp+pahc3T3l0rzytKyrtwCSTgcV32cVy958R/D9jdTW896Umico6+TIcEHBGQtezi6eGqRSxNrdLnn6dTC/4Urpv/AD+3X5r/AIUf8KV07/n+uv8Ax3/Ctn/haXhr/oIH/vxJ/wDE0f8AC0vDX/QQP/fiT/4mvJ+r5T/d+8VomN/wpXTf+f67/Nf8KP8AhSunf8/11/47/hWz/wALS8Nf9BA/9+JP/iaP+FpeGv8AoIH/AL8Sf/E0fV8p/u/eFomN/wAKV03/AJ/br/x3/Cj/AIUrpv8Az+3X/jv+FbP/AAtLw1/0ED/34k/+Jo/4Wj4a/wCggf8AvxJ/8TT+r5T/AHfvC0TG/wCFK6d/z/XX/jv+FH/CldN/5/br/wAd/wAK2f8AhaPhr/oIH/vxJ/8AE0f8LR8Nf9BA/wDfiT/4mj6vlP8Ad+8LRMb/AIUrpv8Az+3X/jv+FH/CldN/5/br/wAd/wAK2f8AhaXhr/oIH/vxJ/8AE0f8LS8Nf9BA/wDfiT/4ml9Xyn+794WiY/8AwpXTf+f67/Nf8KP+FK6b/wA/13+a/wCFa/8AwtDw1/0Ef/IEn/xNH/C0PDX/AEEf/IEn/wATT+r5T/d+8VomP/wpXTf+f26/Nf8ACj/hS+mf8/t1+a/4Vs/8LR8Nf9BA/wDfiT/4mj/haXhr/oIH/vxJ/wDE0fV8p/u/eO0TG/4Utpv/AD+3efqv+FdF4T8H2/hGO4S3mkmExUt5mOMZ9B71W/4Wl4a/6CB/78Sf/E1q6H4m07xGsrafcfaFiID/ACMuM9OoHpXThaOXwqJ4e3N5MaS6GxTf8KdTf8K9uWwz5Z/Zd/5OA+Nv/YTf/wBKZ6+p9or5Y/Zd/wCTgPjb/wBhN/8A0pnr6orzsB/B+b/MS2CvnL9pr/kZ9J/68/8A2dq+ja+cv2mv+Ro0n/rzP/oZr0xnjlfV/wAB/wDkmOlf783/AKNevlCvrD4D/wDJMNK/3pv/AEa9AHoFFFFABRRRQAUUUUAfP/xQUzfFSxXcSIba4kKdufKUH6jn865PWs/N9K7b4r20tp8TtFuHXbBdQTwK2M7mKowH/jj/AJVy+sWe4NxXTW+GD8jno7y9Tgb7O9qopndXQX2nsWPBqiunHdnBrmOgn03O4VozK9n4q8OX4O1JHkspcdW3IWQH2yho06wIYcVa8RWpSbwxxj/ibwj/AMckrrw/x27pr8DmxC9z0a/M+gfhn/x43f8Avj+VTeP/AA3qPiC30q60qWCPVdIv0v7dLnIhmIR42jdgCVDJI43AHacHDYwWfDldtpdf74/lXYHiuW9ndG7XMrM8E8deAvFGq/a/EmoWGmSeILu60m1g0u0lkubWCG2unlBeVokZizTMS3ljaFXAbBJlvfhJ4wk1638Wwf2WNda8uZrjRf7TmjtEjlggi/d3IgLBwbZGyYcEO68cNXuw+lLV+0drGXsY3uzzDwx8MLzw9qV5d2aWOmyN4bs9HtTGzXDW0kJuD95lUvGDKmM4LbTkCuRsfhH46f8At/U9SuNHudZvINEFvC1/NJG0ljdzTSCSbyFIEgkXBWM7SxG07Qze+elK3ShVJIfs4nkOk/D3xND4qll1C00yfSLq/j1V2h1adHtpgqEosPkbZQrpw5dMjGUGMHoPAfgCXwf8H9I8JhLOC8tdIWymNqMQNceXiSQHaCQ0hZixGTkkjJrvqTbSc3LcqNNR2PH2+BNvZ+DbKz0+NDr6yaT9p1C9vJ7gmK1vIbh40eTcyp8jlUACkkZx1GH4q+CXi7x5qd6us6rYRWn2TVbCC9jmeWZo7uMoh8ry0WIIAoKB339dy4wffOaOaaqSRLpRZ4z4i8D+O9fv/DmvNb6Hb6vozXEI0u31OdLeaKaNFMn2j7OWSQGMYHlEbXdc87h6Z4S0VfDfhfSdKjt47SOztY7dYIZmlSPaoG1XYAsBjAJAJ9BW5RUyk5KzLjBRd0YWst/pCr6Ln8zVGrerNuuj7ACqlejS+BHxeNlzV5hRRRWpwhRRRQAUUUUAFFFZ2ua9p3hnT3v9WvrfTbFXSNrm6lWONWd1RAWY4yzMqj1JAoA0aKy7HxJpepatqGlWmpWtzqenlPtlnDMrTW+9dyeYgOV3LyM9Qc1qUAFFFFABRRRQAUUUUAFFFFABRRRQAUUUUAFFFFABRRRQAUUUUAFLu3ADHQYpKKBpvYt6Uf8ASh9DW8tc9px/0yP/AD2rouxrz63xH1mVu9FrzFooornPYGVxd/Hqa69O8aXEsEkbRoyzKI0z5e04J4IIkycE8119wrvE6ocMVIB964rTvCuo2s0AlsdPlhRV3IbmQguOshBjwWPHX06187mqq1HTp04tq9210/A6aPKrts67UM/2bPnj9238q4j4KnHhmfj/AJeG/wDQVruNR/5B9x6eW38q8U8D6D4l1PSZJdI1JLO38wqY2dly2Bzwp9q+XznFVcFnWGqUqTqPkkrK191rqelhacauFqRlJR1Wr+Z7ruHNG9a8vXwb45J516MD/rqx/wDZasL4H8XyY8zxIy/7u4/4V6X9vY97YCp98f8AMw+p0l/y+j+P+R534r/5GbVv+vqT/wBCNZNXNYt5rPWL2Geb7RNHMyvMf4yDyap18XOpKpNzkuVvp28jw6iUZNJ3CiiiouQVb3VLXTZrSK5mWF7uXyIQ2fnk2s20e+1WP4Vi658R/DnhuS6TUdUjgktpY4JI1VnfzJFLoiqoLMxQF9oBIUFjgc1U+K3h298SeCL6PSVVtdsimoaXuOFN3CwkiUnIwrsuxufuu1cVP4euLrwuNZ1Cz13TtevdXl1W3l0uFZbqxco0EQdCWU/uCFKkFeSOwNd9CjTqRUpy8v68h2OuuPjV4Gtb63s5PE1gLm4jSWCNZC3moyq6spAwwKupBHHzD1rXj8eeHpdP0++GrWy2moXh061ldigluQzoYhnHz7o3XHqpFcXpOm+KNZ8VfC/XNd05YL+30O+XV/Ix5cFzKtodvXuUfgZA2nmuM8VfCnxDqGveL9PtLZ/7PtpJ/Evhy4aUNGmouYJkj55UrdwTyHttuMZwSK6I4ehJpOdvmn1sFj3qx1a01K4vre2nWWaxmFvcovWKQxpIFPvskRvowq5XFfDmzudD8GXGo3+nzQanfz3Gq3doqAzB5HZhHgHlgu1Rz/CBW/JrQlAjbTr8K7CMnysYBiL54OQONuf7xArz507ScY6pBY1SwVSScAc8ms3w3r9v4o0Ky1azSRbS7jEsXmgBip6EgE9f614ZpP8AwmHh3wlq+l6yb86n4gnh0nw600xka1tJ2k8tJeu64t4RJLK2W3CMfOep6DWdJ1bSfi5ovhjTJbuPwxqsNvqT+Xct/ohsPleMDHypLushgHB8qXI+c57XhYq8efXv5LcR7NRRRXlDCiiigR6/8Fsf2Ff/APX1/wCyLXogavliy+FHj3xlcXWpeGPiHP4as1cR/YViYruCjLZDc547UXXwO+P8f/Ht8VreX/rpJLH/ACjav0nLsRVp4WnFU21bdWOiL02Pqdj8vWvln9jn/kpXxq/7C0X/AKOu6qH4JftF4/5KfY/+Bc3/AMYqH9he2vbPxV8V7fUZxdahDeWsdzOCSJJRJdB2BIHVgT0HWuiVadXE0lKDjvv6FdT66ooor3xnzR+0p/yPVh/2DU/9Gy15NXrP7Sn/ACPVh/2DU/8ARsteTUAfVvwFXb8M9O93lP8A4+a9CbpXAfApdvwx0o9dxlP/AJEavQKAKd80v2SbyWVZtpCM3TdjjP41zWgi/W6t4njuI1V2MklzMr+YCvQYPXcM5wMAHHXFa3iPTJdUs0iijhmZZFdo7hiqOBng4B/lWX4b0G8068El1Z2WcvieOd5JEUk7UUMgwoGB1HSvm8XCrVxtO0Hyrqnpv1OmHKqbu9TF+NnPhy1P/Tyv/oD13GjnGk2Y/wCmS/yFcR8bf+Rbtf8Ar6X/ANBesuy8KeNpLWJodcjSNkBRfMYYGOB9yvkamYVsDn+IdLDyq3jH4baetz1Y0YVcHDmmo2b3v5dj1nzB0zzWL4yYf8Irq3P/AC7Sf+gmuHHg/wAd/wDQdi/7+t/8RVbWPCviy10W8mvtdEtvHCzSRKWO9QORyBXqVs8xtSnKLwNRJp6u3+ZxywtKz/fL8f8AI83ooor4654YUUUUCMg+LtHXSbLUzqEIsb2SKG2n3fLK8jBUVfUkn+fpWAnxp8Evpl5qP/CQ2y2NmyrNcNuCANu2uCRhkOx8SLlTsbBODXJeHfA+rab8SJdJl01l8IaXf3Ov6ZcKyiPfcoAYNoA+ZJZLxhngJJHjPbJs9H8St4a8deGdKsdTl8IN4akg0qHWIxHcw3bLMgtoeMvFs2YLnKnABIJ2+qsNS1vK+z3S0f6gep+GfiR4Z8ZSwR6JrEGpNPFJPF5O4iSNDGHZTjBA86Pp/fFWNI8daBr2maVqOnarb3ljqs721lPC+5Z5UEhZFPqBFLn02N6V5HqXgbxPpvwY+GE+kWEq+LvD2l21hNbK+2VUmshazpnOP3cjRTHr/wAewxzipfB/wvu/CPjK90s6VMvg7SYLjUNL+zyHaZrqCOOWKIZBWQOl22cji7AB61csNQs2p7enTT8dB2Z7rRXmXwN0zxNpOk6pF4wF5LrYmT/S5pS8Mlv5Y8lY+gDIvyycZMgdskMK7e38QG4hif8AszUI/MSJ9skGGXezDBGeCu3LegYV51Sk4zcU7+YW1NXP+c1k+GfE1p4ssbi8sVl+zw3lxZbpABveGVonK4J+XejAHvjNePWdz4h8FX/jfVL6PUotMnWSLw3Hc3BkMUks4j8t15+aS4dWjyTiN0XCbStbOoeC/wCzfEXw90aGy1caZo8Uby32nTSrG8iELHFJtYAoWLO+4chVB4JB7Pq0Fo5ej+V2I9e+9S0DOKK8wAooo59OaFuM+kPDJ/4p3S/+vWL/ANAFaea+WNP+CPxquNPtZbP4tlLV4laJWR1IUgEAgA4496s/8KJ+Of8A0V7/AMdf/wCJr9Wo4qqqcV7J7Lt/mdV/I9T/AGlD/wAWI8af9g9/5ipf2cf+SG+C/wDsGxfyr53+L/wi+Lnh/wCGuv3+u/Ev+19Jht83Njh/3y7gMcj3H5V9D/s4f8kL8Ff9g2L+VTRqSqYu8ouPu9fUnqelUjdKWkbpXtlHw3q3/IWvf+u7/wDoRqvCu6aMerAfrU+rf8hW8/67P/6EajsV33tuvrIo/UUAfdCfcU+1ITQv3VHtTJlLRsFPzFSBUS0TYHH60uoreXjW6zs0iMsMyyqIYgVABIJ7Nkk4PX8K6PWs/wBj3mf+eL/+gmuSt/Ceoxzxl9P02aNUCtG1y+13B/1hHl43da67W/8AkD3Y/wCmT/8AoJr5TD06qoYipVi48yej9H5I7ZcvNBRdzjvgydvhiX/r4b+S13+4V4b4J0HxNqWlvJpGpx2lsJCpjZ2B3YGTwp9q6H/hDvHX/Qei/wC/rf8AxFfKZBneKoZdRpQwU5JLdWs/S7PUxmEpSrzk60Vd7a/5HqJIwcmvnDxR/wAjLq//AF9y/wDoZr0FPBvjf+PxBGo/2XY/+yivNtXhmt9WvYrmX7RcRzOskv8AeYEgmunMszxOMjGFXDSpru7fdo2eNiqFOlG8ail6X/VFSiiivnzzAqnqmrWmixQS3swgjmnjtkds4MkjBEUntliFGe5Aq5XOfETw7J4p8E6vp0Cg3ckPmWp/u3EZEkLDpyJEQ/hWlNc0kpbAL4j+IPh7wnJJHqupxW00axkwgM8reYXEaoigs7N5cmFUFjsbA4rKvvjZ4G02SKO48S2UbzIskY3Md6soYEYHPynNcTH4bu9X0C68TeJbDXLDxDqGqG9s10hA1zpSRRPbQADcwIKGWUqQV3XLgj16rTrPxDqy/D291e3J1C1lmkv2Cqm3NvIqsVHAJJXIHQmvTdCjFava99V2voWdQvjTQm0977+04EtEvBYNK7FQJzIIxHyOpcgfiK0odStbm+urOK4SS6tQhniU5aPcCVz9QDXhHj74c+IvEfjDW9Gt7GYaGDN4nsL4yBojqC2yQQ25B+7+8aSbpj5E5Fej/Cux1KPRtX1vW7KSx1fWtRnvJbVlG+OJMQ26kAnkwwxMRn7zt06VlVw9ONP2kJXv09SbHc0d8f1rHXxEsi2xOmaignEJ+aDHl+YW+9zxt25b03L1rxHTde8T2Mfid0vJmn8OpJ4X0QSSGSO6v7iYMs0oO7zBHH9jGTkj/SARzWVLD+0Tu7WEe56D4gtfElrcXNn5hghu57MvINoaSGRopMeoDowz3wa0/wDPWvHpfBP9h+LPAehafY6tDoOh2yGS/tZJMXMi/LFHKVYLjO6WVmXLHYOQXr2Gor04U2nB6MAooorlAK9W+CfFrqn+/H/I15TUEPw4+IfjDUbi68H+OT4ZtI0SOa1KNhm+Y7gQDnjjn0/L2snm6eKjKMbvXRGkNz6r3e1JuPpXzD/wov45/wDRXv0k/wDiaP8AhRXx0/6K7n8H/wDia/QvrNX/AJ9P8P8AM3v5EH7Lv/JwHxt/7Cb/APpTPX1PXyF+xlp99pfxY+Ktnql5/aGp21wsN1d/89pVnmDP/wACIJ/Gvr0dqMud8Om+7/MS2Fr5w/aZbPivSx6Wf/s7V9H182/tLMP+Ew08dxZjP/fTV6gzyGvq/wCA/wDyTHSv9+b/ANGvXyhX1d8B12/C/Sh/tTf+jXoA9CooooAKKKKACiiigCtPaQ3JQyxRyGM5UuoO09Mj0rzvxJ8NbmSSaWxZJkYkiE/KV74HavTaTaKAPm3VvDNxYzGO4tpIH7B1Iz9PWs5dF5+7X1BLCk8ZSRFdG6qwyDWdN4X0m4bL6dbk+yAfyoA8BstJ2/w4qDxJpr3Gr+FLVI5CTqX2guqEqqxxOTk9s5GPXmvoRPCukR4K2EI/Cr8drFAoSONY0HRVGBWtOp7OXMZ1I88eUw/B2my6fYyNKpjMpDBSMECujpu2nVkaBRRRQAUUUUAFFFFABRRRQAUnpS0n8NAHPal/x/Sfh/Kq1T3zbryX61BXqQ+FHweId6035sKKKK0OYKKKKACiiigArw74yeMPEviX4iaV8KfBw02yv77TpNY1PW9UtRdpp9skgjQxQEhZJvNKFd52gLnB7e4187fESSX4S/tK6d8RbzS7+78J6x4fbRNRvtPt2uTY3CTCWKSVFBYRFQylgDgkZwOaBorWeteMvgH8UPDlp428SWfjfR/G14uljWl0WHT7qzvAp8iN/J4kR/ugtyCeoANYOk+JPit8QvG3xV1HTfilYeEND8H65NYw6Xe6Fbz2rxRRLIWmnZhIiEZ3kHIGSMcAbXjPXLX9pL4k/DXT/Cq3114Y8O6wniPVNaNm8Nv5luCbeFHkUb3aQ/MFBwpJyDivMvD3hX4Y/wDCyvjOfib4VuNQ1K68Tzy6ekmlXc7z2xjQgxeWhDAtux60FHe+KPjd468V/AP4Q67ot3F4I8S+N9bs9Murr7CtytskkVw7SRRTcYYwqw3Z+V+pOGrsPhf4k8eeGfjFcfDvxZ4mtvH0DaIdaTXItMSxntG85YhbypETHhxuZDwx2P1A48W8aeH9U1D4A/C2PxrpWsXeiQePkuWttUhkuLuDR9l4Lf7UE3MGEbRq2eQSAecV2nw90XRLX9oHwxP8H9G1DSfCP2S7Piqb7LNbWFwPLItQvnAF5hLjJUZC8E44oA9P/ak8YeI/BPwju77wnqKaRrs1/Y2VvfSQJMIfOuY4y2xwVPDEcg/niuD8VftAeIZP2R/Fni+xkXRfHfhtDYajH5aSfZr+KVEl+R1I2sGDruH3ZFPvXY/tZWFzqXwnhhtLeW5l/t3Sm2RIWbaL2Ik4HYCvEP23Ph3rvhXTfFPiHwjp13qel+NtPXSdc0mwhaVlvEkR7a9CL3IVo3IGeV4JJIQH0p8RPjf4d+Gd1Y6bfJqWr6/ewm4t9D0Gwkvr6WJWVXlEUYOEBb7zEA4OMkEVxfxQ/am0Twz8Db34heFoZvEKJOLSOH7HcKIphMsUkdxhN0DLuOPMC5O0DO4Z4X4nWM/hH9ozVPEWv+JPE3hDw9quhWtvZa7odpHPBG8LP5sE7NDKYtxdGXAAYg5JIGKfjL4c2N9+yf8AFW18D3XiDxZcarqf9sz3GqWXk3F3MHtZpnhQRR71KR5G1TubcBk0Ae/aL8ZPD+rTaHbSLqmlXWtXElpZw6rpVzZNLNHEJWUCVFONmSG6HawByprU0H4leHfE3jHxJ4Y07UFudY8OiA6jCoOIfOVig3dCcI2QOmOa8b+M3iiDx78FtM+IHgmK81a98Hapa6xDDHayRTXCxFRcwJvUHDQySKzAEcMOTkV4x4q0bxT4Xs7D4peHNJuptX+IkWsaJextbyRTxreSmTTGkRc7GjWPaZW4AKjjNMLH1Dd/tL+AbXwPofipdUnu7DXppbbSLa0tJZbvUJo3dGjhgVS7HchGcAcrkjcM6/gH41eGviJY6tLYSXtje6Oqtqel6rZSWl7Zbk3qJInAIyvIIyD61414i8O2nwD+J3wm1e8028vvAuh+G5/Dy3lvatcf2VdERkXcqoCVDxo6NIB1c54Na3h+8X4jfGLx5430K0u38MHwdDosOoTWrwLeXKy3EreUHAZ1CyoN2MZyO1AWLPjz9ozQ/G3wr+IDeCLvVWnsPDl1f2+vW9pLFarIsf3I7jABlQshKg5GfY46L4M/F/S9Q8KfDDw3qOp3GpeMtY8K2WqzoI3mcJ9mjLzzuAQgZzgM5GWYDqRXA+G9FvbX/gnummtYTw6h/wAIZMhtDCyy7zC/BTGcmsb9ky11H4LtoHh3xHpN/MnjDR9PvtO8QSWpLxypZxh9OuWA3R+VhvKDcbSw4YfMAfXFFFFBAUUUUAFFFFABRRRQBLZn/TI/96ulHauZt/8Aj5j/AN8V038NcFf4kfU5T/CkvMWiiiuY9wTaKNopaKAKWqf8g+fH/PNv5VxHwV/5Fmf/AK+G/wDQVruNU/5B8/8A1zb+VcP8Ff8AkWJ/+vlv/QVr4rF/8lBhv8EvzR6dP/c6nqv1PQvWhvu0opa+1PMPnbxVpt3J4k1NktZnRrmQgiMkH5j7Vl/2Xe/8+c//AH6b/CvpkqPTmjYvpXxtTh+NSbnz7vsZez8z5m/su9/585/+/Tf4Uf2Xe/8APnP/AN+m/wAK+mfLHpSbB6VH+rkf5/wD2fmfM/8AZd72s5x/2yb/AAo/su9/585/+/Tf4V9MbB6UbB6Uf6ux/wCfn4B7PzPmj+y73n/Q5/8Av03+FJ/Zd7/z6XH/AH6b/CvpjYPSneWPSj/VyP8AP+Aez8z5l/su9/585/8Av03+FH9l3v8Az5z/APfpv8K+mfLHpS+WPSj/AFdj/wA/PwD2fmfMp0m8YgmymJHTMTcfpUJ8OyteLdnTGN0sZiE3kHeEJBK5xnBIBx6gelfT2welL5Y9BT/1dj/z8/APZ+Z8zf2Xe/8APnP/AN+m/wAKP7Lvf+fOf/v03+FfTGwelO8taX+rkf8An5+Aez8z5l/su9/585/+/Tf4Uf2Xe/8APnP/AN+m/wAK+mfLHpR5Y9KP9XI/z/gHs/M4D4OW8tvol6ssTxMbnOHUjPyL616EtIFC9OKXNfU4Wh9VoxpJ3saLRWBvumvlf9jf/kpXxr/7C0X/AKOu6+qK+Vv2N/8AkpXxq/7C0X/o67rnxP8AvFH1Yz6qooor1APmj9pb/kerH/sHR/8Ao2WvJq9Z/aU/5Hqy/wCwbH/6NlryagD60+B//JL9Fx6S/wDo567yuE+B/wDyS/RPpL/6Oeu7oATaKNopaKAPOPjd/wAi7a/9fK/+gvXcaP8A8gm0/wCuS/yFcP8AG7/kXLT/AK+l/wDQXrt9F/5BNp/1yX+Qr4jA/wDJQYr/AAwPUq/7lT9X+hePesbxhG0nhfVVRSzG2cAAZJ4NbdI3SvsatP2kJQ7qx5Z8x/2Xef8APpN/37P+FH9l3n/PpN/37P8AhX01tX0H5UeWPQflXx3+ri/5+fgZezR8y/2Xef8APpN/37P+FH9l3n/PpN/37P8AhX0z5Y9B+VHlj0H5U/8AVtf8/PwD2fmfM39l3n/PpN/37P8AhR/Zd5/z6Tf9+z/hX0zsX0H5UeWPQflR/q2v+fn4B7PzPmf+zb3/AJ9Jv+/Z/wAKT+y7z/n0m/79n/Cvpry19B+VHlr6D8qX+ri/5+fgHs/M+Zf7LvP+fSb/AL9n/Cj+zL3/AJ9Jv+/bf4V9M+WPQflR5Y9B+VP/AFbX/Pz8A9n5nzK2k3bdbOY855jP+FL/AGZe/wDPpN/37P8AhX0z5Y9B+VGxfQflR/q4v+fn4B7PzPmb+y7z/n0m/wC/Z/wo/su8/wCfSb/v2f8ACvpnYvoPyo2L6D8qP9W1/wA/PwF7Ndz5m/su8/59Jv8Av2f8KP7LvP8An0m/79t/hX01tX0H5UbF9B+VC4cX/Pz8B+zRneG1ZPD+mqwKsLaMEHqDtFalJ24pa+yhHkio9jU8s/ae/wCSC+Mv+vP/ANqLVr9m/wD5IZ4K/wCwbF/KqH7VH/JAfGX/AF6p/wCjUrQ/Zx/5Ib4K/wCwbF/KuH/mM/7d/UXU9Iooor0hnw1q3/IWvf8Aru//AKEaTSQG1SzB5BmT/wBCFO1f/kLXv/Xd/wD0I0uhru1vTwO9xGP/AB4UAfcKfdX6Uu0Ui/dH0p1ADdo44qjrSj+yrsf9Mn/kav8AcVQ1j/kF3X/XJv5GuLGf7vU9H+RdP40cb8GP+Rbm/wCvhv5CvQa8++C//Itz/wDXw38hXoNeFwv/AMijD+h24/8A3mfqI3evnfxNpt3J4j1RltZmVrqUgiM4I3mvommmNfQV6WY5f9fgoOVrHnNXPmX+y7z/AJ9Jv+/Z/wAKP7LvP+fSb/v2f8K+mvLX0H5UmxfQflXgf6uL/n5+Bn7PzPmb+y7z/n0m/wC/Z/wo/su8/wCfSb/v2f8ACvpnYvoPyo8seg/Kj/Vxf8/PwD2fmfM39l3n/PpN/wB+z/hR/Zd5/wA+k3/ftv8ACvpnYvoPyo8seg/Kn/q2v+fn4B7PzPmb+zL3/n0m/wC/Z/wo/su8/wCfSb/v2f8ACvpnYvoPyo8seg/Kj/Vtf8/PwD2fmfM39l3n/PpN/wB+z/hUFr4dexVlt9L8hWkaZljt9oZ2OWc4HJJJJPU5r6g8sf3R+VL5a/3R+VH+rlv+Xn4B7PzPmX+y7z/n0m/79n/Cj+y7zvaTH/tmf8K+mvLX0H5Unlj0H5Uv9XF/z8/APZ+Z8zf2Xef8+k3/AH7P+FH9l3n/AD6Tf9+z/hX0z5Y9B+VHlj0H5U/9W1/z8/APZ+Z8zf2Xef8APpN/37P+Feo/Bm3lt7XUxLE8W548BlIzwa9I8lP7o/KnKoxwMV3YHJlg6yq897eQ4w5XcdSNS0jV9O9jQ+V/2XR/xkB8bP8AsJyf+lU9fVFfLH7L3/Jfvjb/ANhN/wD0pnr6nrzcv/gfN/mJC180/tKN/wAVpZj0s1/9Cavpavmb9pBj/wAJxbjsLRP/AEJq9MZ5RX1f8B/+SY6Tnrum/wDRr18oV9X/AAH/AOSY6V/vzf8Ao16APQaKKKACiiigAooooAKKKKACiiigAooooAKKKKACiiigAooooAKKKKACiiigApKWkoA5m6/4+pD/ALR/nUdS3X/HxJ/vGoq9WPwo+Br/AMWXqFFFFWYBRRRQAUUUUAFJtHpS15fbfGaPTvi14l8F+IreHSFstNXWdMvi7Fb2zAxOxyoCtE45AJyrAjvgGj08KF4AA+lG0ZzgZrxrwj8W/G/jz4Xx+K9E8EwTz6tqEsej2d1f/Zwun/MIby5LKSoYqG2RhyVdCM5IC/C34zeJNc+Juu/Dzxx4btdA8TWFhHq1vPpd2bqzu7R2Ee5WZVYMr5XBXnB9OQdj2Xg9RmkAA6CvBPhl8VPiz8TtN0rxDZ+EfCtt4Wv52xJLrM4u1gWVkZvLEG3fhSQN2PcV7N4h8U6N4RsGvtd1ax0WyXANzqFykEYyQANzkDqQOvcUAa1JgHrzVBfEGmtZ212uoWrW1yypBMJl2Ss33QjZwxPYDrVmS8ghmhikmjjkmJEaMwDOQMkKO/HPFArExUN1GaXA24xxWJH418PTeIJNCj13TZNcjTzH0xbuM3KrkDcY87gMkc471JrfizRPDcMkur6xYaXFEEMj3tykIQM21CSxGNzcD1PFAGttG3GOPSjaPSvBNS+MvxG1j4veOPB/gzwpoGp2vhRbBrm41TVJbaWb7TB5qhFWJlyNrDkjt+Hf/C34t6d8SPh3F4rlgfw/Gkk1ve2uoOFNnNC7Ryo7nA+VlPPSgZ3hAbgjI96AoHAGBWT4e8VaJ4u08X+haxY61YFioutOuUniyOCNyEjIqGw8deHNVudStbHxBpd5dabn7bDb3sbva9f9aA2U6H72OlAjdwOmOKTaPSuK+GfxY0L4paHLqelzLGkVzdW7QyyIZAIJnhaTAJwpKEg+hFbuj+MdB8QX17ZaVrenaleWTbLq3tLqOWS3b+66qSVPscUAbNFFFAgooooAKKKKACiiigB0P+uQ/wC0P5100f3R9K5mP/WL9RXSx/dH0rhxG6Ppsp+GRJRRRXKe+FFFFAFPVP8AjwuP+ubfyrh/gn/yLM//AF8t/wCgrXcap/yD7j/rm38q4f4K/wDIsz/9fTf+grXxWM/5KDDf4J/oelT/ANzqeq/U9D7milpK+1PNKbTOJCAe9N86T1/Skk/1jfWk718XUxFVTklN7nRZD/Of+9+lcF8TPiFrPg698I6doek2eran4i1R9NiXUL1rSGLZaXFyXZ1ilJ+W2KgBerDmu6xXA/FDwHrHjK78JaloOs2Wjar4d1R9ShfUdPe9gl3WlxbMjIk0LfduCwIfqo4NKliKnOuebt6sbSKegfHCK80vV21jQ9W0vV9H1N9Jv9PsrObUdkywR3AZGgQlo2hmjdWIUncFxu+WotJ/aO8Ma54qk0awTWL2P+w7PxBBqNro91NbT21yszRlWSI87YSQDjcW2rllZRi3nwE1oaej2XjOT+3bvVpdY1i8vLaYwX8jwJAFEUFxCUWOOKJYwXYDywWDnJqjpf7Ouu+HtDsdM0fxsunovg/TvCt3dJp7C4c2QnMFxC6zr5WWuH3odxK4Cuh+auv2y353+JNvI9R8N/EnSvF9rq7aXNPLdaVKYLyymt3huIZNgkVWjcBhuVlIPQhhg15RY/taWsPwxfx7qmnW1xozX9lpyW3hu8fVLy3nuJo4zDdRLCvkSx+ahZMsc/KPmZQ3YfC34T6j8PR4oubrXo9R1PXpIpnmt7aSOO3dIRECizTTORhVbDu3O7nBAHG+If2a9Y8aJ4mvNc8VabHr+qQ2CQX2jaD9kjEtndR3UE1yjTyG4YPFGh+dAI9yrtJyJjiPealJ29WFvI9Ek+OXhaHWotLkvb2K4ea3tnkk0y5SC3nnRXhhmlMYSKRldPkcggugIBdQTT/jh4a1f+2jps2pammj3jWF3JZaTdTILlZZIniVljIdkeJg20kL8uSAwzyd58C9cvNYvSPFVnFoeravZa9q1kmlN58t5biA4gmM5EULtawsUZJGHzAPgjFm6+COqw+CH0XSfFZ067PiS818zm2k8idLi5nmNrMkc0cjIPPHKyoS0SE/LlCvbL+d/ew5fI0rr9pbwDB4dtddj1qW/wBIuNPOqC70+wuLpI7YSeWZJPLjby8PlSGwwKPkDY2Nmz+Mnhq+8SJocV9O16br7CHNlOIPtPleaYPOKbPMCZJXdkYIOCCK+ebr9nnXPh/bQ6RpqX/im3s9LnhslkhH2XU55b66u/IvFWZNsY8xFJY7GyT3KV6p4S+BF34Z8eT61/aWm3Wjz6rca2unXdhLLdWl1OrGUQ3AuFjCeZJIwzAWAdl3YxipVrK/Owtqdd40+JF94S8aeDtGGjtc2PiK/awOpG5VBbyC3nnAEeCXOID6D5upxiu586T+9+leZ/En4d+KPGXi/wAHappfiLSdK03w7qA1L7JeaPLdTXEvkzwMPNW6jCqY5zgbCQyg5I+WvSVz3OTXNLET5Y8s3frqyuVD/Ok9f0o86T+9+lJRWP1it/OxcqLNuxZeeamqva/dP1qwK+twknKjFyd2Yy3Cvlf9jj/kpXxq/wCwvH/6Ou6+qG+6a+Vv2OP+SmfGsf8AUVi/9HXlYYn/AHij6sk+qqKKK9QD5o/aU/5Hqxx/0DkH/kWWvJq9W/aSbd48th6WEY/8fkrymgD60+B//JLdE+kv/o567yuD+B//ACS3RPpL/wCjnrvKACiiigDzj43f8i5af9fS/wDoL12+i/8AIJtP+uS/yFcR8bv+Rdtf+vlf/QXruNF/5BVmP+mK/wAhXw+C/wCSgxX+GB6lX/cqfq/0Lx6GmSHahI44p570yb7jfSvsqrtCT8jzFuVfOf1/Sjzn9f0ptFfGfWq38zOjlQ/z3/vfpXl3iv4reJ9H8T+ILLSvDVjq2laDZQX17PJqjQXTrIJWKxReQyMQsR+9IuSccV6bXlviz4W+JNa8Wa/e6X4qsdJ0bXrKCxvrdtJaa8VY/MDGGfzwiFlkI+aF8Yzz0ralial3zT/FicextL8bvDS3mh2011dwNrQhFlNNYTLbSvNG0kUYn2eWXZVb5QxORjqQDkeDf2itB8ZeDG8SW2n+IorRb2axML6BeNPvjLgsEWIkrhD8wGM/J9/5a5zWP2cbzUPGmk6jb+LJIPD2mX2n39ro80EsjW5tUVBDGwnWNYnClzmIvvYneVwge3wH8Sw6DaaPY+N47Szs9butRhVdPmQvbz+azQy+XcpvdHlLI/CfKu6N8Zro9sv5397FbyOv8cfGOw8N/CeDx7pb2+q6RdR2c9tdTzm3tfIuXjVLiWQoxjhVZRIzbTtUE44rPX48W+k+KPDfhrxBpl3ba3rVrJdrNpNvcX+nRosqorfalhVdrB1cswUKCN2Mrm34d+HGs+DPgv4W8E6LrliNQ0LSbLSv7Q1HTDcW10sEKRMZLcSocOFJwJBgkckAg8r4V/Z1uvA9v4ai0XXrG3isW1MX9u2lH7PJFf3K3E0dpGsyi1VGBWMEyBVIyGIyV9Y01m/xFY623/aC8HTafqV8+qXNpZ2OmTazJcXen3EMcllF/rJ4meMCRFyCdmThlOMMpM8vxy8OW9tp9zcHWLa2vfL8ua40O9iRBJL5SeYWhGzc+BhsEBlJABBrzy+/Zq1fxH4VvNH8Q+LbW+kh8LXnhTSLqz0hrc20FykaSSzqZ286TEMX3TEvDcfMMbfxO+B+ufEDxouqQ+MDYaKyWIk0ma2mlCNbXJnLRFbhI1MmVVi8UhwgwR0o9sr25397Kt5HTN8ePCK+Iv7F/tK5N1i8bzl0+4Nti0OLo+eI/LxE2EY7sByE+9xWn4P+KeiePLq7tdKuLoXNrBBdSW95YzWsnkzBjFKqyou5G2PyM4KkHBBFfPng/wCDPiceKtYstS0+f7Frmp+JItTuLs/JpunXtxNND9hkEu0vKwtmZfKJ+8WKsgD+0/Cn4a33gP7U+qXuk6ndvFFbQ3dhp89tL5KZwshluZ93Jz8uwAk8c8FSq4rSbv6iS8hPA/xZ1HxZ8VPHHg690I6P/wAI3a6fdxXTXaytdpdG5AJQLiPH2Yn7zZDjO0jFek+c3979K8i8F/CvxV4d+M3izxvqHijSL+y8Q2tnZS6ba6JLbyRR2puDAVmN24Lf6S287MNtGAvNes1hVxE+b3Jv72NRXYf50nrSNNJ60lNaslia387DlRfjyV96fTIvuD6U+vs6b9xHOeT/ALVH/JAfGP8A17IP/IqVf/Zx/wCSG+C/+wbF/Ksj9rTP/DPPi/t+6g/9KIq2P2c/+SH+Cv8AsGRfyrh/5jf+3f1F1PSKRvumlor0xnwzq3/IVvP+uz/+hGp/DS7vEelD1u4v/QxUWr/8ha9/67v/AOhGrPhNd3irRgehvYf/AEYtAH20v3RS0i/dFLQAhqjrH/ILu/8Ari38jV41R1j/AJBd3/1xb+Rrjxn+71PR/kXT+NHG/Bf/AJFub/r4f+Qr0Dua8++DH/Itzf8AXw38hXoOeteBwv8A8ifD+h24/wD3qfqBqnJMwYgN3q52qhJ98/U16WY1J04RcHY44K47zn9f0o85/X9KbRXz31qt/MzXlRxXxN8fax4PXw5Bo2mWerajrWqLpscd/etaQx5hllLs6xSnpFjAXv1rH0P48Wk1nrcWuadeafreh3403UrHTbabUljlNutwrq8UWTGY2BDMq8/KQGIB1Pih4I1fxhD4duND1ey0bVNF1RdSik1Cwe8hkxDLEUaNJom6Sk5D9uhrhtW/Z31W8X7dY+M5LHX77VW1TW7hbR1ttQLW32dY/KimjZVjVUMYaRwCuXEhOa64YhuKUpO/qxcp0dn+0d4Y1LxSujWSazeo+kLrUWoWmjXc1rNbtGZAUkWIhyUHAGSWOwZf5a6zwb8Q9L8eQ6i+lSXQfTrr7HdwXlnLaywy+WkoVklVW5jljYHGCGFeZ6b+z9rWg+GNG0XSfGS2KWng8+FLi9XT2+1MyxFYruB1mAhdXO8gh84ABU/NXS/Br4V6h8M18UyanrNvrF7rupJqDva2s0EcO20t7YIPOnnduLcNlnP3sdqqVd2bU397C3kct4V/af8A7U+GWqePNW0ZbXRrS4jthYaTNLfalBK0/kvBd2wgVoJoyU3RgvjJ54BPYX37QHhDS763tru/vLWSY2aPJNplykVq90QLaO4cx7YHcso2yFSpddwXcM8RJ+znrOr614j8Qav4q0+TxHq2l22li503RntLdxBOJ457qH7Q32iUMoUNuTahdVC7jV/WvgRrfiK51u3vvE9gdC8TTWV54hsotIdZbi4gihjf7NKbgiCKRbaIFGWVgN2HDHcKddP7b/EXyOrtfjz4Z1K/1S006TVNUm0y8fTrprDRrueOO6SRo3h8xYiu5WXnnABBJAINQan+0X4J0vR7XUptWuXguLU3vlwabcyzxQiUQ7pYVjLxZkOwB1BLKwAO1sZepfBnVv8AhDRo+keJl0+7XxFf6950lvN5My3N1cz/AGeVIbiJ2RTcDkSLuMSkjBK1474s+BnjHwvqkX9mWsnidtP8NiGxVbRVstT1H7dPcrDcL9oWSOJSY/8AWSOh3kghlIkIVeZ/G/vC3kfR8/xa8PWviaLQZb6ZL6S6WxEjWsvkC4aPzFhM23yw5TkAtySB94gVD4x+IWoeF/G3grRE0j7VYeIr+Swk1E3Kp9mdbS5uRiPaS+RbFeq43A5OMVytt8ELmH4j3mvtqGm3ejXmox6tLp15p80lxFcpGiqYphcrGoDRIw3QsQc89Ma3xN+H/inxf4k8H6noPiLR9Gh8PX76iINR0eW9aeVrae2I3JdQ7V2XLnGCdwU5xkHP275kuZ2trqx8vkeliZ8fepPOf1/SmduaK5PrNb+d/ePlRJ5z+tS28jNnJzVap7XvXoYGtUnWSlJtEySsWqRqWkavqXsYHyx+y7/yX742/wDYTk/9KZ6+p6+V/wBlz/k4D42f9hOT/wBKp6+qK83L/wCB83+YkLXzF+0Y27x9Guelon82r6dr5e/aKYf8LCx6WkX82r0xnmFfV3wG/wCSX6V/vzf+jXr5Rr6u+Av/ACS/Sv8Afm/9GvQB6FRRRQAUUUUAFFFFABRRRQAUUUUAFFFFABRRRQAUUUUAFFFFABRRRQAUUUUAFJ60tJQBzN1/x9Sf7xqOpLr/AI+pP941HXqx+FHwFb+LL1CiiirMQooooAKKKKACvkj9q7wve/tAeOLLwR4StrR9X8JWc2s6lqVwpIQSxOkWncMMi5G7eOgRQfY/W9Zmm+HdN0e+1G8srKG2utSmE95NGuGnkChAznuQqqv0AFBUWeYeG/2ivBp+BumeOmkWx0/atiNKhUNcLeg+X9ijiHLS7xtCjqMN93mq3wV+Ht7p/ibxN8SvF9zF/wAJh4kRE+xh1ZNIsIxmO1Vh1I+87dC2Ou3c3b6t8G/BGuabfafqHhfTLyxvr9tUubaa3Vo5bthhp2XoXI6nqag8K/Av4feBdW/tPw/4P0fSL/y2i+0WloqPsb7y5A6HvQO54V8XPCmjfA34X6V4q+Gvi7VbG6W+tTo2lx6291YayZpgRbLFIzqyurOwKYxjdyAa619L0fxR+1jqFp4stLW/ltvC1rNolnqCCRFZppheNEjfKW4hDEDIGPU16F4f/Z9+G3hXxEuu6R4I0PTtWVt6XVvYorRt6pxhD/u4rW8dfCvwj8Tre3h8V+HdP16O3JaH7bAHaMnrtPUZwM4PYUBc+TtN+G8XxI0n9onw74Ck8nQdM1myvvCz2jYhttYhgE1wsDEjZmYIpIO0CTIra8K+PNU/aO1nXPiV4aRmTwn4KlstFjgUSf8AE9u7cTT+V3JjCwxlWByWU+tfVvhzwzpPhHR7fSdE0610nTLcEQ2dlCsUUeSScKowMkkn1JJ71F4Z8H6J4Nt7uDQ9KtNKhurl7yeO0iWMSzOcvI2OrHA5PoKAuj41+Ffw11f4g/s9+Cb2xi8A2Fkj2OpS+JGuLj+0o7qOdJJ2kkMfEzOJEYFsfOQDjFexzeB9C8Xfth67ca3pdtqj6f4P057ZbpPMSNnurxWYIeCcDGSMjJx1NegXH7P/AMN7rxU/iSXwRocmuSSm4a9ayQu0pO4yHjBfPO7Gc85zXXw+H9Oh1yfWUsoV1a4t0tZbwKPMeFGZkQn+6C7ED/aNAXPku6+GviP4gftEftEQ+E/HGreCtYt7fQVt2sCn2eZmsWwJgUL4AUgMjKV3k/NgCt/wh488N6N+zj4DsW8FWM95fa4nh99Bv5ylrBqySSmZpZZRI2A8MjAnexJUZJOa+krHwxpOl65qusWmnwW+qaoIhfXcaASXHlKVj3nvtUkD2rI1D4U+D9W0fWNJvPDem3Gnaxcm81C1kt1MdzOcfvHHd/lX5uvFAXPAfhrZlfjx8ZNGvhofhqM+GdPW5j0G5321ozC5/eOSke2QIyk5UcbTnBFavwb0WX4d+LNB+G/irwz4Xv76TQbg2HiXRIAn2y0iMUUiXMLLkMweMkhmRjngY59n8M/CbwZ4N0+ex0PwxpemWlxB9mmht7VFWaPnKuMfMDuOc5zmovA/wd8E/DW6u7jwt4X0zQri74nms7dUZxnO3PXGe3SgDwD4T6p4Q+HP7LvjbxPqnh+01G0s9R1yC+tra3QyzwnUJlEDcfdKlODwFxxisS8muLX9pj9n+ZdC8LeGPt1rqUotfDV99oeSB7RSvnMIYwyZB2MAQSGI6V9PWfwl8F2GvazrVv4Y0uLVNZge21G4W2XN3G2N6SDGGDYGQRz3qv4V+CvgTwMySeH/AAnpOkSJci8V7W1VGEoSRA2cZ4WWQD0DtjrQB29FFFBAUUUUAFFFFABRRRQAq/eX6100f3R9K5la6aP7o+lcWI6H0mU7SJKKKK5D6EKKKKAKeq/8eFx/1zb+VeUfDPxppHh3QJre/uvJm+0MwXy3bjC88A169IgkVlYZBGCKw/8AhBdB6nSbT/v0v+FfG5rl2PrY6ljcBKKlFNe8m1rbsejh61GNKVKsm02npboZ3/C2PDP/AEEG/wDAeX/4mj/hbHhrnGoMf+2En/xNan/CC6B/0CLT/v0v+FH/AAg2gf8AQItP+/S/4VHsuJP+flL7pf5l82B7S+9f5DtO1S21i1S7tJBLbyZKuARnnHf3q3mo4LWKyjEMKLHGnCogwAKkritUWlVrm622v5HM7X93YWvO/ip4w17w5qPgrSfD39nx3/iPV5NONxqcLyxQKllc3JbYjoWJ+zbfvD72e2K9Erh/iN8Pp/HM/hu7stal0HUtB1FtRtbmO3ScFmtprdlZG4I2XD/QgVtTcVJOWwmcppvxy1PT9D8QjXfC19qGveH9YbR7y30IwCKY/Z4rlJ42uJ0VUaG4iOx3D7iVAbGSuh/tCJ4k8ZzafpfhfWNU8ON4d0/xDa69aJEY5orsXJjBiaRZRuEAVf3eQ27eEUBis37PNn/ZcEdr4i1Eau1/c6je6zdwW09xeTzxeU8rIYxEJEQIIzs2oI0GxlG057fsyQQ+G7XQ7HxVqVlYjwtYeFbrbBCzzxWXmm2lBZTtbdPJvUhldSBgYyel+xs31J1O58C/FC1+IOnaxJY6ZeWOqaVL9nudJvpLdpkkMayIN8MssRDKykFXOOQcEEDx2P8Aai1vSfhZJ4rvtMs9b1tLzTbK98J6Wn2a+0ma5u0t3ScXEq5wzbVIADPg/cJZfWvAfwu/4QmTxLdLq0k9/rzxyzSW9rDbx27pCIh5MYUgDCg4fec9Selcvr37O7+MtP1X/hJPF9/qurXVta21pqUdlbW7Wv2a6S6hkKIm2R/OjjZs4UhcKqAtlRdJSd9h6mrL8fdJtfEB0ybRNcSO2urXT9S1L7PG1rpt5chDDbTMshLOfNiBMQkRDIoZ1zS6X8erHXNP8RXumeF/EV9b6NqU2ks6wwQrdXEM8sMqxPLMihUMRJeQomGUBi2VFVvgO03iDULqXxLeHSNV1Kz1rUtHjtoVjmvrcRbZEfbvjRmt4XZMtlk4ZQzAyX3wGtp/Dtnplrrd1bPaeJrrxNHI8Mcsbyzy3EjQyxsMPGPtT46EMkbZyvM/ubaBqZ2o/tS+GofB9j4l0rSdb8R6fPZf2hcLpyW6SWEHmmEtOJ5ogNsqyIwUsVMbFsKM1s6f+0F4Z1Lx5F4WhjvDPJdvpn279ybdb9IzJJaHEhkLqqtl1QxblZPM3qVHinib9kvxBot5oqeFbqPU49FtJm0661JLAt9qkvprvdOktnL+7DSr/wAe5hYhTznaR7b4X+DY8J+LLvVbHVfLsbzUJdWuNPeyikYXUoPneXOwLrE7s0mzlgxOHCHZWko0UrphqO+K3jTxN4FutFvtN/su90y71Kz059NlglN5M00wR2jdWwNiEvgoeI2yQOR6XXlniP4N3+ufFqx8cw+K7m3eytVtLXS57SO4t7ZSxMzwhiNkkowrSYLbVABAyD6iueMnNcs+XlVhD6KKKwLPPfF37RHw/wDhzrkmjeIde+walGqyND9juJcKwyDlI2HT3rK/4bE+Ef8A0Nf/AJTrv/41Xcax8NfCfi27F5rnhvS9Wu1XYJry0SVwo7ZYE4ql/wAKJ+HP/QjeH/8AwXRf/E19Pho4n2UeSSt6M5ZXucn/AMNhfCQ9PFf/AJTrv/41Xmf7E+pW+seOvjBf2cvnWt1f288Mm0rujaW7ZTggEZB7ivef+FE/Dn/oRvD/AP4Lov8A4mt7w14L0HwbbSwaDo9jo0Mzb5I7G3WJXbGMkKBk10LD15VY1KklaN9l3EbtFFFeoB8w/tGMW+IEY/u2UYH/AH09eW16d+0Q274hEelpGP1avMaAPrX4H/8AJMNE+k3/AKOeu7rhPgf/AMkv0T6S/wDo567ugAooooA84+Nv/It2v/Xyv/oL1oaf8R/D1npttHLqKBkiUMFRmwQB6Cum1PSLPWYRDe28dzEDuCyKCAfWs7/hBdAzzpNr/wB+gf6V8LictzWlmVTG4CcLTSTUk9Leh6sK+HlQjSrJ6NvS3X1M/wD4Wv4Z/wCgg3/fiT/4mkX4oeHLqRYY78l5DtXMMgGT7la1P+EH0D/oEWn/AH5X/CgeDtEt2Ekel2qSIdwZYVBB9elVKnxDyt1J0rdbKW33k82C6Rlf1X+ReU7lzS0g4pa5DnCvIvGnjjxvaeJ/Fdv4cTQXsfD+mw372+pRTebdM6zMUEqPiMYiAB2NgtnB6V67Xl/jL4N3nizxBrl3D4x1TQdP1yzhsr+00yGASyJHvHyTSI7R7lkZSVAYdVZTzW9Jxi25EsI/jxpEeq+GLS603UoINfSBbbU2SNbUXEsfmJB8ziViRxvWMx7iFLhvlGL4X/aGu9Y+Gc/i2++H/iK2eO/ns102F7J5ZRE7gyKxuRGAPLIIZ1JYbVDZXL7z9mvTJvGia1b6zeW1ouo6dqaae0MUgjks4UhjjSVlLrCURSUzneWYN8xFTSfAFl061s7bxRd28Vjqt3qFjm0ilEC3Ik8xCjgpIymV2R3U7TjIYbg3T+5Fqa3jL4riP4P2Hjnwrt1DT9SSwure8ktJpUSzuZIgbp4lAk2pFIZCMAgKc4wcYNn8cr+PxJ4R0Y6P/wAJdZa1YXGoSeKPDkluunRxpMibgJLneVRXBfbuOcbAxyF6vQfhvd+EvhP4Z8F6B4jutLl0DTrPTrfVPs0MrSpbxLGPMjdSpDhPm27Tz8rCuZ8M/s72/hG30FdP8SX73VnNqM2oXNzBCzaj9uuRc3QKoipFmQYXYoCrkYJ+alH2Vmh6krftKeHLXS9Z1HUdJ1zSLGw0OfxHaTXtrGBqunwjMktsFkJBGY/3cwif96h24ORf1j462GgrokuoeGvEVjZ6pJGhubq1iiFr5svlQmWN5RId7EZWNHeMMDKseRWBefs0xa1oN/pWteKb/VIT4bufC2nM1rBGbG0nVFkfKqDJMRFECxIXEYwgJYtrePfgTH448WTa0NdubBbmOwjubb7PFOMWlw08YiZwfKDlyr7eWAXBQgkpKjzWFqNX9ozQm8XzaKdG1pNPgj1KWTxFJHAlgF09xFeHBlEx8uZli4i+ZjlcqCw2/hv8YtI+Jk15b2VpeabfW0UV19kvngZ3tpSwinBhlkUKxRxtYiRdvzIuVz4v4I/Zv8Vaf478UzakbOHw/wCJrvXBrAjNq7S2l3cTyQC3dbVLhJR5kRYzTSoAHAT/AFez3L4eeA7nwPYtb3Gqx6oVijt4pI9PitW2ICAzlB88hz8x4XjhV5y6kaUV7r7ArmPonjbxFD8Zj4O1W60XUbebSLjVv+JbDJHPYhLiGOFJt0jAiVZJSpwuTbyYyAcenV5r8P8A4W6r4H8RanqB8UtqlvqVzLd3UM2nRLNM7E7N84+YhFIVR0CqAABXpVc1Tlv7pSCkalprVkM8nP7X3wmt2aJvFilkJUlNPunXj0IiwR7jil/4bE+En/Q1/wDlNu//AI1XWyfBH4e3crzzeCtBlmkYu8j6fESzE5JJ29c0n/Ch/hx/0I3h/wD8F0X/AMTX1cI4zlVpRt6M5NTwz9oX9pb4c+Ovg74j0LRPEX2vVLyOIQwfYbmPcVmjY/M0YUcKepr2j9nP/khvgr/sGRfyq3/won4df9CN4f8A/BdF/wDE12Onafa6TYwWllbx2lpCgjihhUKiKOgAHAFa0aNVVXVqyT0toLUuUjdKWkbpXpDPhrVv+Qref9dn/wDQjVzwj/yNei/9fsP/AKMWqerf8hW8/wCuz/8AoRq54P58WaIP+n6D/wBGLQB9sr0paQcAUtACGqGsD/iWXf8A1xb+Rq9TXQSKVblTwQa569P2tKVNdU0VF8skzyf4Z+LtI0DQJYr68WCVpmfaQScED0FdV/wtXwzyP7QJ/wC2En/xNaP/AAgegc/8Sq1/79ClHgTQB/zCbQ/9sV/wr4HA4DiHL8PDC0p0uWKsm1K/5nr1auCrTdSSld+a/wAjM/4W14Z/6CDf+A8v/wATWppmrW2uWqXllL50EmdrbSvf0IyKP+EF0D/oD2f/AH4X/CrFvZwWEfkW0KQwpwscagAfhXVUjm0bPHzg49OVNO/zZyyeHa/cpp+bRNS0UVgZnA/FbxXrvhv/AIRaz8PHT0v9a1ddO87UopJYol8iaUttR1JP7oDr3rl9L+PF3pmm+LLfXNEm1fxD4Y1X+zb238NoBHKrQJcRTKbh40jBikXKtITuG1S5Kg9n8SPAc/jiHQ3s9Zl0O/0fUF1G2uo4EnG8RSRFWR+CCsrfiBXF337N9pcQadcL4o1ObXoNQn1K71a/gtp21CWa3NuWlhEaxApFtEexVCbBkMC4bspuny2kLUm0f9oRNe8YQ2WneEtcvvDU+hR69D4it0heKWF0LqVhEvntn7gVYi5f+Hb81df8OfiVY/Emx1SW1s7zTLzS7w2F/p980Ly283lRyhS0MkkTAxyxMCjsPnwcMGA4qP8AZxtofCWn+G4fEup22nw+E28JXUkMcQmuIPKMayhtuI5FLFvlGCccY4PUfC34Xf8ACt18SSNqralda7qK6jM4tY7aOFltYLcJHGgwEC26kZyeeSTzVS9lb3dxanneh/tC623w11bxRe6fa6nrdmbVbnwfp8fkajpksswjeGczyqGK7hh8KrbCVyCK7HUPj5pOj6glvf6LrVrb25tYtY1Bkge30S4uFRooLspMTvPmxgmISIm9WZlQ7qx5v2c/7Y1LV9Y1/wAX6nrfiG60yPR7XUntreA21uk6zgmOKNUkdpY42ZiAPlwixgtm1rnwBbxBd3/23xRfHStauLK91/TYYI1TUri2SJAQxDGGOQQQiRF6qmAy5Ymn7EWpat/j9Y6lDrcmmeFPE+pw6TfXGmSTR2kMMM11BcSQyxpJNNGmAIy/mMViwwTf5uYxn+IP2nvDei6Lpl/a6TrWvTXlot7JY6aluJbOFpxbb5mlmjjH79hH8rtkqzDKKzDWvvgpDceHLTTbfVZIprPxDeeI4ZJ7dJommuLi4laOWI43xj7U4HIOURs8YPjvjP8AZf8AFMPiDRJvDs9rqg0PS44tO1DVEsi5vftVxO7XEclpIBFl4T/opt3bDZb5YtjhGjLrYNT2S4+Pvhqy8fDwtNHeRym9j0w6iRH9mW9kQOluRv8AN3MpXD+X5e5lTfvYKaXx2+IPjD4Y6dYazoFtpWsW0t/YafHoMyOt7qMtxdJEyQy7wiMEcuCykfIxbCgka1j8KTpfja+1y11REtNQvV1G5s5NPgkk88RqhEc5XcqHYpIILZztZc4qHxh8LtY8QfEOw8VWHi2XTDZWf2W30+TTobmKJixMkyFsFXdSqE56IMYyc5J04yT6WHrY9KXpS0i/dFLXIUFcD40+P3gT4Zawml+JNd/s+/kiE6wi0nm+QkgEmNGA5U8Hniu+rB1r4b+FfGN0tzrvh3TNYuY08tJb61SVguc4BYHjJNduDVT2q9m1fzInscH/AMNifCPt4sP/AILbz/41S/8ADYnwk/6Gw/8Agtu//jVdZ/wob4c/9CN4f/8ABdF/8TR/wof4df8AQjeH/wDwXRf/ABNfRcuN/mX3f8E5tTwX9kPWLTxF8Zvi7quny+fYX16bm3l2ld8b3EzKcMARkEHBANfWvpWF4Z8D+H/Bccy6FolhoyzEGVbG3SHeR0ztAzW9W+FoyoU1CTuwQtfLn7RH/JRm/wCvSL/2avqOvlz9oj/korH/AKdIv612DPMq+rvgP/yS/Sf96b/0a9fKNfV/wH/5JjpX+/N/6NegD0GiiigAooooAKKKKACiiigAooooAKKKKACiiigAooooAKKKKACiiigAooooAKRulLRQBzF1/wAfU3+8ajqxqC7byX65qt616sPhR8FiNKsl5sWiiirOcKKKKACiiigAooooAKKKKACiiigApN1eYftB6xomj+CrL+3NR8RWcF1qltaw2nhaVor3UZXbC2oZcMFfndhkOB94d/KfgTJe+Cf2k9d8DWOneItA8K3PhePWodG8RaiL57edbswl4XE8u1HDMWBbJYdgFoK5T6l3UtfB/gbR9Uk/ZT8J/F658WeIrvxvaXdv9nu5dTlMSW/9oC2e3MOdjoybiSyliT1wMV7f408Mx/GP9oC68I6/f6gvhnRvDdrqkem6dfT2fn3M9xMnmyPE6ltggG0ZA+ds54wByno3wt+KCfEy48aRJp7WH/CN+IbnQGLS+Z57QpE5lHA2g+bjbzjHXmu7r50/Yx0mXQ7H4uafPqNzq8tr8QNQia+vCDNORb2o3uQACx7nFfRdAMKKKKCQooooAKKKKACiiigAooooAKKKKAFX7wrpo/uj6VzK/eX610y/dH0rixHQ+lyjaRJRRRXIfQBRRRQAUUUUAFJS0UAZ8n32+tJUzW5ZyeOTR9mf1FfH1MHWlNtR6nQpIirzP4wa/r1hrHgDRdA1VdGl8Qa3LYXF59mSdkiTT7u5+VX4yWt0GfQmvUfsz+orlPHHw2tPHLaLLc3d9YXmj3jX1ld6fKI5IpTDLCTyrAgxzSLgg/e9qdPCVoyvKGgcyPMrH473vgvQfEi+ODpcl74d146HPqUN7b6bbXQa2huoZcXMyqjGK5jVkDsd6uR8uKn8K/tBXXizxJcyWvh6VfCR8I6X4ot9QnnghkjW6F4xEpeYADFuijjCsJCzbSprqYfgDoFjbWi6fcahpd7DeXGoSalazj7TdXEybJZZnZTvZlCjJHARQMBQBRk/Zp8Lf2VbabHJqUGnQ6FZ+HWtY7n5JrW1Mhtt+VJLRtK7AjGSeQRxXT9V/uO5PMWfhV8atG+MGn+IJvD4jnn0e4FrII723uYZJGiWRSs0EkiEHcAcHIIORXj037QHjDwb4F1LUb9rjVPGsV9pEN74V1XTY7MaeLq9it3a3cMgmgPmFUffIQ+CzYyo9/8ACvwvsPCTa5JbXl/c3ususl5eXM+6VmVPLUrgALhAANoHTPXJrA1L9nvQ9fsdRg1zU9a1uW8ihhW6vL397bCGdbiIxFFUBlljjfJBJKKDkcVMcLLmd4aD5kVLr46W9nqdzC3h/VJLCw1O10fUdRjaBorO7nEO2MjzNzBTcQqzICAWPJwcRw/Hyxfwv4k8Rz6Rcabomi6nPpTXuqXtpaRTyw3T20jK8kyqqh4+C5XduUDJ4rVm+Aui3GrPfS3+qNHPe2+pXlj9qAt7y7gWIRzyqFyWHkREgEKSgJB5zNefAvQLrR7OwQ3lr9j1u48Q2tzDP+9hvZ2nMrqSCMH7TMMEEAPxyAaPqb/lYcy7nni/theHLvwFZeLNN0TUtTsJ9MOpyRxTWsbxqLlrXy13zBZHMyFAI2YMSuCdy51tG/ao8H638Sl8ExSqmrtqkujiI31q032mKNnkBtxKZgilHXeU2krwcEE8r4g/ZV1PRfEGmS+B10yGzs7OSCy1DU71/tmkXEtxcTSXMatbzCc5uX+UvCcAqXw2R7D4f+Etp4X1671PT9T1K2S8u3v7nTknX7JJcSD944QqSu9suQrAbiTjJOalg9NIsXN5nFfG3xn4j8FeI/Dk+k6xcRQ3Go2No+m/2R5llJHLPsme4uj/AKshPubWTDBQQ+8Aez1yXir4V23jDUFk1DVdU+xCWGd9LjuAtrI8Tq6Fl27uGRTgMAcfWuyW1YcDArmng6zjFKOo+ZXI6Kl+zP7UfZn9qx+pYj+UrmQ+16GrFQwxmNTmpc19VhYSp0Yxluc73FooorrEFFFFAHy1+0I274jTD0toh+hrzSva/jD8OfEnibxxcXum6XJc2hijRZA6jJC89T61w7fBzxjHjOiTH/ddD/WgD6C+B/8AyS/RPpN/6Oeu7rjvhNpF5oPw/wBKsL+Bre7hEgkjbGRmVyOnsRXY0AFFFFABRRRQAh70yb/VtT26U2T5lIrGonKDS7DW5SoqT7O3qKPs7eor5D6nX/kZvzIjrxbxxrvjh/FfjM+HPEFnp8Hh3S7a+h02/wBPE8F07CZ3WRwVkUERhQVPynnDdD7d9nf2rgvE3wZ0/wAUa1qOoz6rq9mNSt47W+tbG78qG5iTfhWwu4cOwyrA4Na0sJWi25QDmRyd5+0poOj6/wCCdH1G3+zXvipLVrSP7da+apnRihMDSicoGQoXEZAJ9jjP8P8A7RtxbfC1fF3i7RbfQwdUuNPUXGqWVnE4jllRSHnuAuf3YUjdktkgbea664/Z78NTeJDrCm8ty2oWmqvZQT7Ldrq2hjhhkK4z8scUa7c7cKOM80i/s+6LClqtrqOr2f2PULnUbQw3nNs84YTImVPyNvY4OSCeCK6vqv8AcYr+ZV8UfEDUvE3wR07xh4Gjun/ti1sNQt5I7UTXMVlO0TSSxwk4aVYHdlQ5G4Dhuh5jwz8atWk1zwnploG8aaLfWWoXF14hito7KVDb3SRFZIGlUq8SsVlAQFnXKovKL6dpvwwtNB+H2i+D9I1DUdI07RrO3sLK4tJx9oSGGNY0BZlIb5VAOQc/WsTS/gD4f0g6TNY3Go2lxZzXlxLOtx89813MJrrz8r83mSAE4CkdBgcVEcLJKzi9wv5nO3n7S2m6N4dudY1jw/q2kw/8I9deJbOGY27yXtpbqjS7Akp2viWMhXK/f68HFvxX+0LpfgW80C08R6c2i3esGFYrO71SxW5DSTCJVEPn75CCVJ8sNgH1BFXV/Zv8OTaLfaVqF3qmrWVxpE+hRLfXW9rOymVVlihYKCMhIxubLfIvPXOn4o+CGj+LPEtxrdzd6jbXF1HZxXcNrc7YrhbWZ5YAwKk/K8jfdIyDzmn9U11g7BfzOT/4ac0FfFF/pf8AZl79jsYtXnudTM1uIoU02RYrovH5vmL+8dVXKfMCGHy81q/CP9oLw38ZtR1Kx0SSGWextoLuRre/tbyMpKXCjfbyyBXBjOUbBGR61xvhH9nPxVo/jPVheXejw+E9U1DVrrVfs0ry3GsQXktzLHA8ZhX7P5T3O7cJpdxQ4Cbzj2fwn4IPhO1ktk1fUdSi2qkf9oSq5iVQQApVF/HOegp1MG0rRjqCl5nmPhPx5rtv+0BeeDtT16bU7G40m4v1hvtH+wpFNHPEipZS8faE8uRzICXZCIzuAk2j2yuLsPg/p1v40tfFV7qGpazq1jDcQWDajMrpZJOUMoiCouCfLQZOTgY7nPcfZ39RXPUwlaTXLDoPmRHTT92pvs7+opPs7+1YLB17/Ax8yLMf3B9KfTVG1RT6+yppqCTOYKKKK0AKZJxGx9qfUU2fKfAydpwKAPh3VP8AkJXf/XZ//QjV7wf/AMjZon/X9B/6MWt/UPhP4ukvp3XQrllaRmBG3oT9aueF/hd4rs/E2kXE+iXMcMV5DI7sBhVDgk9fSgD6uopF6UtABRRRQAUUUUAIelUJP9Y31NXz0qq9uWbIx1ryMwpzqwioK+ppB2ZFRUn2dvUUv2d/UV4P1Ov/ACM05keZ/GDWdcsX8HaboWqDRp9a1tbCa8+zpOyR/Zp5TtVwRktEvPpmuMtP2hH8G6X4vtvF9xY3uoeFNYi0m61JZ7bSoLkS2qXMT4uZwofa4UqH5YEqADhfWPG3w7tvHUOlrc3l5YT6beC+tbnT5RHJHKI3jzkqQRtkcYI71zM37PegMLCZbvVk1SzvbjUBq321nupZp4vJlLswIwY9qgAAKFULtArqhhZ2SlFi5vMwPDfx4vfFviSzfS/Ds0/hO98MxeIbbUzNAjOsil1B3TDAPCcjhsnO35q6T4P/ABk0f4zWOu3Wi7THo+of2bNJDd293E8nkQz7o5YJJEYbZ1B+bIZWBHFQTfs6+G5vD9poYm1GDSoPD0nheS3husC4sWiMeyQkElgGJDAg559q6PwV8NbTwLJrclteXl/d6zeLfXtzfSh5JJFgigXGFAAEcMYwB2z3NXLCyt7sHcXN5nhXh/43eL9A8J+JJfEFw2p/EGzFncXPg+4sI7QWKy3RiZraTev2i2wQqyF2O5CWI3bF9C1r4+QeH/7Wlu/DOrCw0OazttavY2t2j0+WdYn2sPN3P5aTxM5QMACcE4q5N+zpoN9ealf6lqGr6tq15Yppg1K8uVa4t7dZhNsiYIAuZFRiSCWMaZzgVZvvgBoup30093f6rPBevazalZNdAQajNbiMRyzqF5YiGIMFKqwQAgjILeFct4Dv5mXJ8fLWHRNc1qbQ7qx0XSdTudKk1LUr2zs7eWWC5e3kZXlnUBd6EAtjOQOvFYN9+1hosOk6NfWPh7VtXTUtP/tFBaS2u0R/a0tFCO0wWYmSRf8AVFwAyE43pu7+8+DGj3Gl2VjBPfWP2PWbrXoLi3mAkjuriSd5iCykFSbqYbSOAwx0FeVeNv2Ydeh16yu/BV5YxPDpiWNtqmqXbLdaXcia5k+2qn2eVbl/9LkwmYMfON5Ep2EMHfeLFzHTal+1F4P034nx+B5Z4v7UOqQ6Q4F/a+alxIisn+jGXzyhLou8RkAtnoCRR/aK+Imv/C+88PaxY65Ja2Eup6fZSWEul7rBo5rtI7iS8vSD5CrE5KMCgDKN3mbgo9KsfhlBpfia71m11PUbb7ZcC6ubGOVfs0svlhC5UqSMhVyAwGVB9aq/EL4P2XxMje01nVNW/sadUjutItbvyba6RX37ZNq78N91gGG5eDwTU/VJKaai7dR8ysdotFSi1cDqKX7M/tXJ9TrfysrmRFU1r/FSfZn9qkhjKZz3ruwWHq06ylKNkRJponooor6YxCiiigAr5c/aI/5KM3/XpF/7NX1HXz58bPh/4h8R+NmvdN0ua7tvs0aeZHjGRnI60AeJV9X/AAH/AOSY6V/vzf8Ao16+f/8AhUfjD/oA3X5D/Gvov4O6PeaD4A0+y1C3a1uo3lLRP1GZGI/Q0AdtRRRQAUUUUAFFFFABRRRQAUUUUAFFFFABRRRQAUUUUAFFFFABRRRQAUUUUAFFFFAHO6l/x/Se+P5VWq5q/wDx+f8AARVOvUp/Aj4bFq1ea8wooorQ4wooooAKKKKACiiigAooooAKKK898UftA/DfwTr1zouveNNH0nVrXb51ndXSpJHuUOuQemVZT9CKANX4j/DXSfifo9tp+rNdQfZLqO+tLuxnMM9tcRnKSow6EZPXIPcGsDwT8B9C8D+OJPF0WoazqviKbSxpM99q181w8sXmiTJyMBsqOmBgdOTXfaNrNj4i0mz1PTLqO90+8iWe3uYW3JLGwyrKe4IqPxBr1l4X0HUtZ1KUwafp9tJd3MoQsUijUu7YAJOACcAZpFnE6X8BfC+j/B+z+G0C3h8OWpUx758zZW4+0Al8f89OenTin+PPglo/jrxBaa+NT1rw9rlvb/YjqGhXptpZrfdu8mTghlzk9MjJwRk12PhrxFYeLvDula7pUxudL1S1ivbSYoyeZDIgdG2sARlWBwQDWpTFqcR8LvhHoHwf0/WLHw5HcRWuqai+qTrcTGU+c8caMQx5wREvUk5ye9dvRRQSFFFFABRRRQAUUUUAFFFFABRRRQAUUUUAPh5lT/eH866WP/Viuat/9dH/ALw/nXTL92uHEbo+nyle5JjqKKK5T3gooooAKKKKACiiigApNopaKACiiigAooooAKKKKACiiigAooooAKKKKAE2iloooAKKKKACiiigAooooATaKWiigAooooAKKKKACiiigAooooAKKKKACiiigAooooAKKKKAEwKMCo2kWPhmA+ppVkDYwaNSeZXtcd1o6VHNcR28ZeV1RB1ZjgUi3EciK6OrIejAgg/jRZhzLa5N+FJuqP7RH/fH50ecucBgT6Zo5WHNHuS5FGRUbSKmNxAzwMmnM4XliAKB3Q+imqdwBp1AwooooAKKKKACk2ilooAKKKSgBGoHtWTr/ijSfC8MMurX8NhHM/lxtO+0M3XA/Ktbduos9+hPMr2HUUUUFBSUtZuta5ZeHdPlv9RuY7OzjxvmlOFXJAH6mhJt2Qm0ldmj2oxVWwvoNQs4bq3lSa2mQSRyxnKupGQQfTFWs0rW3AWiiimMKKSloAKKKKACiiigAooooAKKKKAE59aWiigAooooAKKKKACiiigBNoo2ilooAKKKKACiiigAooooAKKKKACiiigAooooAKKKKACiiigAooooAKKKKACiiigApu2nUUAYutLtmjPqCKzq1daX5I29DWVXo0fgR8ZmMeWvIKKKK3PNCiiigAooooAKKKKACiiigAr5PsfFni/w7+0J8aYvDXwsk8f28mp6a0t0mrWdmLdv7Mtxs2zkFsjnI4r6wrxS4+GfxH8N/Erxr4i8Ha94XhsfE9xa3UttrmmXM8sLQ2sdvhWinjGD5e7kd6Bo1te+IGr6P8Zvh14Uht7e00zW9M1C6vLdlDPHJAINiqwOAAZGBwOcVw/jv4iav4iuP2mPCV2YDpPhzwtBJYhI8SA3On3Ly7mzzyi49K7D4hfC3xX4ql8E+JdM1rSNO8eeG/MLTTWUr6fdCaMJNGYxKJFjJAYDeTlRkmuf8P8A7O3iC0b4vXuueKoNY1j4gaTDYyTpaeTFaSJbzxYRNxPlgTKFBJbCckk0FGD8KfiRrHgfS/2dNGuxC3g7xR4OtbBZjHta31KOziliDSHjEkYdFTqWGe1UfGX7SnizTPhj4+8eaVDZvo2n+KrfRtDjmiJFzbxzxQXEvmBvmWSQyhWH3dpHJFXv2g/Acfg79kDRfDEmreRr+gW+kWGjalbDZKdRiaGGJ4snKbjuBI5CM57Gun8Yfs3r4h/Zx0b4XadqMenCxFjuvXh3b2hlSWVyoIyzsGY+7ZoAn0vxH458H/Gzw34V8R69Y+ItN8SaZfXi+Tp4tWsZrYw5RCGO+NhMMb8sCvXtXJ2fx68Yn4nf8Kikgh/4ThdWMp1f7J/op0UL5v2gqrECUriEKTjec8cKfXvEfw7l1z4seDvGCXiRRaDZahaPalDulNz5GCD22+ScjvurzuT9ma6aztdfXVrZPibDr519vEAgYoSx2PahSSwgMGIgueNqsckZoDQ9+XO0ZOT60tIudozjOOcUtBAUUUUAFFFFABRRRQAUUUUAFFFFAD7Xm6j/AN4fzrpv4a53T+byP6/0ro+orz6/xI+qypfupPzFooornPbCiiigAooooAKKKKACiiigAooooAKKKKACiiigAooooAKKKKACiiigAooooAKKKKACiiigAooooAKKKKACiiigAooooAKKKKACiiigAooooAKKKKACiiigAooooA+bfi94dsvFn7RnhjSNSRpbG501RJGrFScNcMMEdOQKq/Ejwl/wz/eaT4k8K3lzb6dJeLBd6a87Msvyk9+uQjcnJBxirvxg1hvCv7QHhvXprG8vLGz05fM+xw72yWnXAyQM/MO/eqfjrX9S/aC1LRfD+j6BqNho0V0tzd3t/D5ZXAYZGMgYUtjk5JAxxX0dPn5abfwW17bv8T5mpyc1RL4+bTv0/Ah+OV3b/wDC3PD7+K1upPBxtt2xd2zeVbJGCOQ2wnvgV3/hX4U/D3xN4Zu7fRppL7Q7ueOZ4IrpiI5UDD13KSH5B9BT/HvxM8M6PqF34b8W6JdNpqxKY7qS2863n+UEAY5Vs8DjqucjiuV/Zk0K7tde8U6nbWV3pvhy6cLZQ3WVYgOxXjuQpAzk9axk3LDc13HlSt2ev5msLRxPK7S5t+60/I4+0+E/hyb9oS78KNayHRo7fzFhEzbt3lK33s56k10XxH8KWnws+Inw81HS4pIdNjk+xkBixX95nDMfUSnj0U1qadZ3C/tYX85gk8g2n+t2Hb/qEHXpXV/tHeGpPEXwwu2gjkkurGWO8iWM85UkN06/KzfjitHXcq9OMno4pP5qxnGh+4qTiveUm18meVftO3V1rXjWO3tGymg6ct9L8xON8yr09RuQ/Suk+OWuSeNPAPgnTLGWOS48RXELJ5hK5yoGTgcDc4zx3pnwj0u9+Ilr4+1rVrWS1n1iFbERbCo2CEoNuR1xiub+CNtq/iTxp4YsdUs7mG28L2twVaWPA8xnYAEkdACoH+5W7jGMbO16W/zX+ZgpTlK+tqn6P/I+odPsYtL023s4F2QW8axRr6KowB+QryK5+POqXGm6rrOh+E21Xw7p0jI99JfCFpAuMsqbCdozn6dh0r2WT5Y2Y8cd6+L/AA/rMEei6rpt/ceJLPTbq9lN5ZaJbRy2gXd91ZC2QMDBwSCB3zXl4OjCspykr2t3/Tqepja86PJCDte57vJ8eH0/wFY69qXh6e2vdTl8vTdLjnErXQKgq27aNoOcdCenBzVnR/i3qlt4s0zQ/FXhv+wZdUDGzuI7tZkdhg7GwBg8j8SOOa8++L1naa54K8Da34VjutS8P6XMqH7CWWWONdoGONysNhGexxV7w2vgDxX4s0BrPVfEuvalb3G+H7ZJPIlowG872kAAGUAOCcnFdHsKPs+blet776W29Pmc31iv7RR5trdtb79Nfkdf4o+NF7B4tuvDnhfw5N4i1GzXddv5wijh6YHQ56+341rfDP4qD4gTalYXelzaJrenOFubGZ9+ASQCGwPQ9vzrzHRfEUfwX+LvjBvENtcwaTrEn2iDUVhZ0B3MwGFB4O9l45yo45yL3w00CX4leOPHHii6s73S9I1W2/s6BXzG7oVVS49GwinIzgseTSqUKUabdrKyad927afmXTxFWVRK922012SPbvEWsf2DoGo6kI/P+x28lx5W7bv2KWxnBxnHXFeZeA/jhqfxA1LT1sPCdwulv8l7qDT5S3kwTtX5RuA4546+2TYl+D+leBPCvim40qfULie40u4iKXFwZAf3bYwPXNP/AGcrOSD4QafFJE0MhkuPlddp5kbBrmjCjGjKe7ukntv5HRKdeVVR+FWbtve3mUp/jlqurHVbrwv4X/tnRdMZhNfyXgh83aCW2KVJ4xnPP0rQ1L4+aLZ/DSDxbDDNdfaH8iGxUhZPP5/dseQAMcnnjBAOQK8V8D22jeD4dT8P+NtS8ReHr2O4ZFjsppxb3KkYO0Ip3Z9cYIIrT8f+A7I/CXR9R8JadqZ0+31GW5kt71D5+CRGZCvUL+6XHswJHXHdLDYdVIwadrrXo1bucMcViHCU09bbdU/Qp/HDx9rfirQNEg1zwtceH3+2C4gkaTzI5F2kEZwNrDI4789MV71qfxKbS/ibo/g8af5gv7Vrj7Z52NmA/Gzbz9z1HWvDPjN8RoviloGhR6LpOoSQ21ws1zctAwjRypXygcfMc7snpwOueOt+LerSeB/jV4W8T3lncS6RFZmCS4ij3BWLOD+I3qcd88Vc6UJwpwcbO0tL9ehnGtOnOU07q8bvy6npTfEjHxU/4Q7+z+PsP237b53vjbs2/rmuEs/2itV1+PUIdD8F3Go3tlO8cqrc/u0jXo5bb1JB+X261l+C/EU/jL9oJ9aTS76wsW0pooGvIShkUEfN6DJz+VWf2abG4tZvHYngkiL3alfMQrnmXpn61g8PRowcpq7Si7X6t6nR9YrVppQlZNvp0S0Oy8OfG7Stb+Gt34unhmtIrItHc2qneyyDGEU8ZzuXB46815P8T/i1rXjX4X6gL3wfc6VpV+YTbX4m81DiVWww2jAIU4PrjjnNUfC3hLUtZ/Z98WWkFrOLuPVzcpDsIaQKkWcDvxn8qf4i+JI8UfBC28KWGi6hLqlrbQQXm2E+XbLCU+YtjkttXAxxk56DPTSw9KFTmgr2l32WhzVsRVqU+WTtp23ex6tpHi/WfDvw88EwaL4ZuNfuZ9LtyWWUQxQgRIMsxB55HHpnmrPgH4vXfiLxdf8AhbW9E/sTWrWIS7VnEscg4JIOBjhlI65z1rznxdr+q6DoHw2sbnUdU0PwxJptv9vvNPRllRhGowWUbh2yBzyeD0pnwstxN8erm8sv7WutLl09/s99q3mNJOo2ru3PyV3BgM9hXN9XhKnOUktm09e/3G6xFSNSEYt20TWnb7zrm/aC1G/uta0/RfCN1qup6bdywyRxTZjWJDtEjNt4LENhBn7p5qtq3xsvPF3wZ1PWtF0mdL4NJaXUcNzhrEeWx88Pt+YD5eMA8+3Lf2frOe18b/E154JIkk1BSjOhAb97P0z16j865f4N6PfTfBPx/ZrZzC6uPOWKJkKs5MI4Gar2VCMnaPwuPXe+4e0rySvL4k+m1tju/wBnLxhr3iLwnbW+qadcyW0MbtFrM9z5n2o+a4K4xkbfu8k/dr2Qdq8U/Zl8VWt14LtvDfk3UWo6Z5rXAkhKoN8rOuG9cOOPY/j7XXmYxcuImlG2rPUwetCLbvoOooorkO4KKKKACiiigAooooAKKKKACiiigAooooAKKKKACiiigAooooAKKKKACiiigAooooAKKKKACiiigAooooAKKKKACiiigAooooAKKKKACiiigDP1hc2ZP90g1iV0N7H5trIvfFc9XbQejR8tmkbVYy7oKKKK6zwwooooAKKKKACiiigAorxKT40eL/FniXxRB8PfCOn+ItG8LXj6bf3Goao1lLe3iIGlt7UGJlBQsoLSFVJPBx81WNe+MXiXXPiBqXgn4f8Ah2w1HW9Ftbe61u81+8e1tLJp1LQwAxxyNJIyBmyo2qB1JJAB2PZaK8Gu/wBp57H4O6p4xn8JXkWuaPrMOial4ZW4SW4huGuY4SiOvyuSJVdOgbI5AOa0/Cvxm8TxfEjQ/Cnjjwpa+GZPEllLeaO9nfteFZIkDy2s58tVEqqS2VJTC4DHjIFj2aivm7Uv2mPGN7Y+P9T8M+ALfUNK8Cane2erT3mqeS1wtudzrbKEOZPLIc7sAAgAsTiu18WfHQQ6R4ITwvp8N/4h8aW7XelWmrXBtYIoEiWWSWeVVfAQSRjauWJcY4BIB2PXCAeoorxLS/2ik0bw/wCOz4x0+10/XvBlvFdX1vpNy1zb3UUyFoXgkZFJ3srptYbgynqCCdPwt4w+KmqQzS6v4F0TToLzT2vLExa6zm3lwhS3uv3HDEMfniDqNhHcUBY9ao6+9fMngnxx4q8Ufss+I9c8f6PpusaMugajcStDqkoub4RiTdFIqwIIgVUqGV2PA4ras/jZPY6D8MfB/wAPvCsN94j17w5b6rb6deXzJaaRpwhQCS4m2s7AMyxrhSWIbJBwGBWPoGivFtH+PWpwaD8QofE/hyPSfF/guza9utPt7sy217AY2eKeGUoD5bmNxhl3LtIIzkVi2/7RniyxvPA+q+IfAS6J4O8X6hb6VZzNqIk1G2mnJFu88ATaqyfL8quWQEluRigLH0HRXjMnxh8T698VNd8L+FdC0a9s/Dk0EWpHUtWa3vZxJGrlreERMNqBvvOQGPAPBr2Vc7ckYPpQIWiiigAoZcKDnINFOT5sqejdPr2qX3NIJSfKxtFItLVGYUUUUAWdN+a8T25roP4awtLH+mfRTW7/AA159b4j67LFah8xaWkpa5z1wooooAKKKKACiiigAooooAKKKKACiiigAooooAKKKKACiiigAooooAKKKKACiiigAooooAKKKKACiiigAooooAKKKKACiiigAooooAKKKKACiiigAooooAKKKKAI2jVuSoP1GaVVCjAGKfRQKyK81rFcLtljWQA5AcZFSLGFXA4A7AU40oNF2Fle4wRru3ADPrjmnFQRjGRTqKBkUcYUYUBR6AULGqMdqgE9cCpNoo2ii7FZFDVtOi1jTLqxmLCK5iaF9hwwVlIOD2ODXjOl/A/xX4d0m60LR/F8VvoU7HcklipmCtw+G7Ej/wCtivdfwqCaeO3jeSVlSNAWZmOAAO5NbU606acY7PyOetQhValPoc94B8D2fgHwvaaLZu00cO4tLIBukZiSxOPc/kBXQQ2cNuSY4ljLddq4zXD2/wAcvA9xqAsY/EVuZmk8ofK4TdnH3iu3HvnFd8GzSqKqneomm+46XspR5abTS7EU1tHcKFkjWVeuGUEVIsYUYAAHoKWisvI303A9OelCxqowoAX0qJbqKSYxLIhkXlkDDI+oqbdRqGhDNZw3DK0kSSMpyCyg4qXaNuMcU+mU+YVkRR2sUS7EjVEznaqgD606a3jnj2yIrqezDIp9L/FS5pByrYZ5a9QADjA47UoRVyQAM9cCn7RS0XY7IjWMKMKAo9hUa2sUe/bEi7jltqgbvrU+0UbRTuw5UQyW8cybJEWRP7rAEflTlhVcbVAwMDjt6VJtFLSuw5URqiqTgAdzxQsarnaAo61JSbRQBDHbxwszJGqsxyxAxmp6KKBhRRRQAUUUUAFFFFABRRRQAUUUUAFFFFABRRRQAUUUUAFFFFABRRRQAUUUUAFFFFABRRRQAUUUUAFFFFABRRRQAUUUUAFFFFABRRRQAUUUUAFFFFAEbjcpFc3NH5Mrp/dOK6ZvWsLVofLut3ZhXRQdpWPFzSnzUlNdCnRRRXoHygUUUUAFFFFABSNS0UAfO/hLwx8Rvgx4o8c6foHhKz8V6P4o8Q3Wv2eqPqqWos3nRN0dxGyliqsnBjDEjkgHirFx4Z8f/DD4veMvGOgeGIPG2neLoNP+0WFvqEdnPY3FtE0ZIMvyvGwOeuQcDHU17/tpaB3Pm7UPgj4uvfhfrovIbOfxf4i8X2HiG+tbOf8A0e3jivLY7Edwu7ZBbjJwNzA4HNd78RPA2seIPjZ8JvEVlbLJpXh+TVW1CYyKpjE9r5ceATlst6dK9UooC58/eB/hD4l0n4d/HbSbu1hhvfF2v63faUvnKQ8NxbpHCzEZ25ZDweQOtYfiz4Fa1deFvg7qcnhXTfF2oeDNJksNQ8M6jJEEufNghRikj7k3o8IIzwcnkcZ+naKB3Pni4+Cr+Ovg/wCM9Hsvh3o/wp1rWIIhAtq9vI7zQv5kLTNCm0qrgcZbhm9a7r4deI/iJr1wtj4p8E23hmyt7Ty5rwatHdNcTjaAYkReEPznLkH7vHJx6bRQK582eE/A/j+3+APjj4Zal4VhtpY9G1Ox0zVYtSjePUXmEwiATho+HXJfGD7c1FZ/Cfxx8NdY+HPjfQtIt/Emq6P4Jt/COr+HzdpbyEJ5cnmQTN8hIkQghsAr05r6YpNtAXPnpvhj4y8XaV8WfEms6Zb6T4g8W6Euj6foUV0s3kRxRTCPzZRhTIzzvnb8oG3nqa1vit8MfEHifwT8JdO061Se78P+J9D1LUFMqqI4LZv3zAk/Nj0HJ7V7ftpaAufM/wAePhx4x+JGvPBo3gGx0rxHHNH/AGX8R7XVI45rGJJdy70CrK/yl8xfMhLfiPpaMFVAJyQOuc0u2gDFAXFooooEFGTwR1oooGh0qhXOOjfMPxptOY7lQ9+Qf5/1ptTHY0qfFddQoooqjIv6Kv75z/s1tisjRV/1jfQVrr0rza3xM+0y+PLh4i0UUVieiFFFFABRRRQAUUUUAFFFFABRRRQAUUUUAFFFFABRRRQAUUUUAFFFFABRRRQAUUUUAFFFFABRRRQAUUUlAC0UUlAC0UUUAFFFFABRRRQAUUUUAFFFFABRRRQAUUUUAFFFFABRRRQAUUUUAFFFFADfu/SuX+JWj3ev+A9d02w/4+7m0kjjXIG5iOn49Pxrp+e/SsLxrda1Y+G7yfw/aQ32rx7DDbTttSQb13DORg7d2OeuKundTi1vfqZVEnCSe1j5z+HPiXwfodjbeFPHPhSLStVt2wt9cWg/e/OSGZ8b1OeMgkfL1HSvS7H4ha1pfxwuPC+qXEMuj31t5+mlUVW6ZAyOT91x+Ga4PxyfGHxyXTdGbwRcaEYJvMm1C+BVUGMHaWUcHOcDJOBXQftEaBL4b8NeGvEWnShNR0CaOJJnbBdCAMEd+VHHoW9a9+caVapFS0lK+l7pPo12ufOwlVpU5Sj8MWtbWbXVPvYs23xY1+41j4halbiO60Dw/G0VtbmHb5k4IBO8ckDa2fZhTfhX4s8aeNjY6i/iPRL6ylWQ3Wnxx7Z7f5GCds/f25zxjPWtD4QaDe+E/gkl3a6f/aWq30bX7WrsAZy/QEk45TFef+HfBmq+I/itouuaN4NvPA9vZzLJftKzRxyDPIRSFHzAFSFGPm5rLlov2kEkraJ6dF+r6o25q8eSbbfN09X+iKfgSx+IEnxf8TpYalpMesRsp1GWZGaGRdw4QBM5/L613Hir4sa7qnxIvfDGhatpfh+10+ItPfakAfMkGAVG7jqw4HoTntVSW38UfD/4065qVl4Yutdsdc8tI54chI87cl2AIUA5zuxwM1l+MPAWp+EvihqviKXwf/wm2i6kCVt0jEjQyNgk7cMQRtIzjGG654rWUqVWpzSS+FW230/rUwj7WnBqN/id99un9I6Pwt8YNYv/AAT42W7ltZtf8OxuReWuHgmGG2OOx5U9umK5W7+LHxNuvh/B4ytxp1po0ASKXcoeWdg4jaTbjAUvxgEEe/Wux07SZdW+Fvi5rLwKvhS6vbV4YbOONRNcYU4LAKDnJOAR396yI/CGuH9lX+xf7Kuv7XwW+w+WRNj7Z5n3Tznbzis4yoRd+VayS17W1NZKvJK0npFvTvfQzfEHxY+JOk6Dp3jSSDTbfw/dSIE09fnk2EZBY443Y7HI9BX0Xpt7HqVha3cOTDcRLKmfRgCP0NeF/EHwlrV3+zroGkwaZdTanAlr5lpDEXlTCndlRzxXtPhW2ls/Dek286eXLDaxRurdQwQAj8648V7KUE4JJptaduh3YT2sZtTbaaT179TYooorzT1QooooAKKKKACiiigAooooAKKKKACiiigAooooAKKKKACiiigAooooAKKKKACiiigAooooAKKKKACiiigAooooAKKKKACiiigAooooAKKKKACiiigAooooAKKKKACiiigAooooATtWfq0IkgyTyvIq+fu1la1IV8tQec7q0pp8ysceMlGNGTlsZdFP2pJyrKjd1bgfhTWCqwCnPqfWvSUrnxcqbjrfQSiiiqMgooooAKKKKACiiigAooooAKKKKACiiigAooooAKKKKACiiigAooooAKKKKAHcGNvYim05PuuMZ4z+optQt2ay+GLCiiirMjZ0dcWpP95j/hWivaqemrttIx6jP51c9K8qbvJs+8w0eWjBeQtFFFQdIUUUUAFFFFABRRRQAUUUUAFFFFABRRRQAnSijIqpf6ja6bayXF3cRWsEYy8szhEUepJ4FFm9ES5KKuy1zSH3NeWeIv2kfBGgeYiai+pzLn5LGMvkjtuOF/HOK87179sJv3sejeH+37ue/n/nGo/9nr0qOW4ut8EH+X5nn1cxw1HSU0fTG6jdXxXqn7T3jrUJC0N3a6chGPLtrZSPrl9x/WuUvviz4y1CNo5/EmoMjHJUTFf5Yr1KfD+Kl8TSPMqZ7h4/Cmz79adF+8wFVrjVrKzjLz3cMK/3pJAo/U1+d954j1bUo9l3ql7dJ/dmuHcfqazq7Y8Nz+1U/A45cQfy0/xP0Gk+JvhGFiknijR42HVWvogf/QqrTfFzwZCCW8UaVx/du0b+Rr4Co/nXQuG6fWo/uMXn9TpBH3VcfH/wDa53+I7dsf8APOOR/wD0FTVf/hoz4ef9DCv/AICz/wDxFfDtFaf6uUf53+BP9vVv5Efcsf7RHw/kbC+Io8/7VvMo/VK0rX40eCLpQU8TacuRn95ME/8AQsV8EUUv9XKPSo/wF/b9XrBH6Br8U/BrLkeKdF/G/iH/ALNWlp/i7RdWUGx1exvAen2e4R8/ka/OqisXw3HpU/A1jxBU6wX3n6ULdRN0kU/jTtw7V+btnf3OnyCS1uJrZx/FC5Q/mDW1Y/EXxTp0nmW/iLUo3xjJunb9Ca55cN1F8NRP5G8eIIfah+J+hWRSfjXwxpn7QHjzS1Kprsk4JyftMSSn6ZYdK7fRf2vNetWxqej2N/Hjj7O7wP8AUk7wfwArgqZFi4bJP0Z2087w0viuj6x/GjI9a8Q0L9rHwpqO1NQtr3SpMLlpEEiZPXBU5wPUgV6d4d8eaD4uhL6RqttekDc0ccg3qM4yVPIGe5FeRWwleh/Eg0erSxdCt/DmmdHRSBs0tcp2BRRRQAUUUUAFFFFABRRRQAUUUUAFFFFABRRRQAUUUUAFFFFABTdtOooAbgcVx/xH+G9h8TtJg07Urq8treKbzsWcioWIBGDuU8c12PGKKqM5QalF2aIlCM4uMloyC3t0tYI4Y0VIo1CqijAUAYAFT7RSbqdUlWSE2ik206igYm0UbaWigBNopaKKACiiigAooooAKKKKACiiigAooooAKKKKACiiigAooooAKKKKACiiigAooooAKKKKACiiigAooooAKKKKACiiigAooooAKKKKACiiigAooooAKKKKACiiigAooooAKKKKACiiigAooooAbWFqrbrwj+6oFbrVzd4266kP+1XRRXvXPGzSfLRUe7IqKKK9A+TCiiigAooooAKKKKACiiigAooooAKKKKACiiigAooooAKKKKACiiigAooooAKKKKAHR53bf7wYfpTF6U+L/WL9cU32qepu/wCGgo68UU+3XfPGvq1KWiIpx5pqK6nQ267IVX0GKmpqrgCnN0ryj7+KtFIWiiigoKKKKACiiigAooooAKKKKACiiigApG6UtI1AHlHxy+Mi/C/T7eCzgW61m8BMSyHCRIOC7evoB9eeMH5G8VeOtf8AG10Z9a1S4vucrEzERJ/uoOB+Wa96/aj/ALIvvEmkafqLtY3LW5eDUFXei5fBSVeu3jOV5HPBzXz9rXhbU9C2vdW262fmO8gYSwSjGcrIuVPHvkd+a+/yWlh40YzcfffV/ofBZtWryrSgn7q6L9TJooor64+aCiiigQUUUUAFFFFABRRRQAUUUUAFFFFABRRRQAUUUUAFS2t1Pp9xHcWs8ltcRsGSWJyrIR3BHINRVPZ2VzqE4htbeW5mY4WOFC7H6AVE+S3v7GkOa/u7nu/wj/aT1W21a10vxRN/aFjcOIhfMAJYSeAWxgMuevfvz0P1bu3c18F6P4ftPB+rWFzr7Rz36yo8eixOrsDkFfPYZCDvs+8eh29a+8o+VHavzTOaVGnVjKhGyf3fI++yitVqU3Gq7tff8yWiiivAPoQooooAKKKKACiiigAooooAKKKKACiiigAooooAKKKKACiiigAooooAKKKKACiiigAooooAKKKKACiiigAooooAKKKKACiiigAooooAKKKKACiiigAooooAKKKKACiiigAooooAKKKKACiiigAooooAKKKKACiiigAooooAKKKKACiiigAooooAKKKKACiiigAooooAKKKKACiiigAooooAZJwpPtXMO292b1JNdHdNst5G9AT+lc3XZh+p87m0vhiFFFFdh84FFFFABRRRQAUUUUAFFFFABRRRQAUUUUAFFFFABRRRQAUUUUAFFFFABRRRQAUUUUALG2JF/wB4fzof/WN9aSnSDbI/1NT1Nf8Al38xtXNIjDXe7+6M1TrW0WPEbSf3jis6rtFnZgKftK8fLU1NopaKK80+0CiiigAooooAKKKKACiiigAooooAKKKKACiiigD5N/a+/wCRw0X/AK8T/wCjDXiWl69qOiMxsL2a1DfeWNyFbp1HQ9BXtv7Xxz4w0X/rxP8A6MNeB1+oZTGM8DBSV1/wT8zzKTjjJtM6g+L7DUoyuseHrO7fDf6XYsbKfcTnJ2gxn8Yz9aims/C135jWuoalp/A2RXlukwz3y6EZ/wC+BXOUV6P1WMX7ja+f+Zwe2k/iSZ00fg23vphHY+I9ImZk3ATyvb/gTIoXP40sfwy8TXFi13aaYdTt1bYX02aO75+kTMf0rmKPbtR7OvH4Zr5r/Kwc1LrH7n/maWpeGNY0aNX1DSb+xRujXVs8YP8A30BWb15HIrWs/Fmt6fCIrTWNQtYx0SG6kRfyBrQ/4WV4naHypdaubmP+7ckTf+hg0L6wlqk/m1+jD9y+6OZorcXxlqauGP2OQ5532MBz/wCOVbb4gX0i7W0/Rz7/ANmQg/otPnrr7C+//gC5afSX4HMUVtyeLJpG3NpulZ9rJB/IUn/CTN/0DdM/8A0p+0q/yfiHLT/m/AxaMitr/hKJP+gbpf8A4BpVmHxxdwDCadpH46dEf5rS9pW6Q/EOSn/P+BzmR60V0N1461K4YEQ6bCB2i06Bf/ZKW1+IOv2Jza3wtD2NvBHGR9CqjFHNX/lX3/8AAHy0v5n93/BMSzsbnUJlhtLaa6mbgRwoXY/gK6Cz+GPi2+l2J4d1KLjcXubdoUA92fAH51Wn8f8Aia4YmTxBqjbuo+2SAfkGrGuLmW7maWeWSeVvvSSMWY/Ump/2l9l97/yD9yu7+5f5m/8A8IPcQ27S3mqaPZqrbNjX8cz5/wB2IuaRtD0C1ZluPEfn4XP+gWbyZPplyn51zlFUqVV/FP7kl/mHPBbR+86dNW8M6WCbTQ7jVZ9q/vdWuiItwOSRFEFOPYyGq99441e8jeGKaPTrVsj7Lp8a28eCc4woBI+uTWBRRHDU07y19dROtO1lovIs6b/yErT/AK7J/MV+kMf3BxX5vab/AMhK0/67J/6EK+9W+K3guFjHJ4s0VJEJVla/iBBB5BG6vi+JpRpyp8ztv+h9dw/8M/kdfS1x/wDwt7wP/wBDdof/AIMIv/iqP+Fu+B/+hu0P/wAGEX/xVfE+3pfzL7z647CiuP8A+Fu+B/8AobtD/wDBhF/8VR/wt3wP/wBDdof/AIMIv/iqPb0v5l94HYUVx/8Awt3wP/0N2h/+DCL/AOKo/wCFu+B/+hu0P/wYRf8AxVHt6X8y+8Dr+KOK5D/hb3gj/ob9E/8ABhF/8VR/wt7wR/0N+if+DCL/AOKo9vS/mX3iudhRXH/8Le8D/wDQ3aH/AODCL/4qj/hbvgf/AKG7Q/8AwYRf/FUe3pfzL7xnYUVx/wDwt3wP/wBDdof/AIMIv/iqP+Fu+B/+hu0P/wAGEX/xVHt6X8y+8DsKK4//AIW74H/6G7Q//BhF/wDFUf8AC3fA/wD0N2h/+DCL/wCKo9vS/mX3gdhRXH/8Ld8D/wDQ3aH/AODCL/4qj/hbvgf/AKG7Q/8AwYRf/FUe3pfzL7wOworj/wDhbvgf/obtD/8ABhF/8VR/wt3wP/0N2h/+DCL/AOKo9vS/mX3gdhRXH/8AC3fA/wD0N2h/+DCL/wCKo/4W74H/AOhu0P8A8GEX/wAVR7el/MvvA7CiuP8A+Fu+B/8AobtD/wDBhF/8VR/wt3wP/wBDdof/AIMIv/iqPb0v5l94HYUVx/8Awt3wP/0N2h/+DCL/AOKo/wCFu+B/+hu0P/wYRf8AxVHt6X8y+8DsKK4//hbvgf8A6G7Q/wDwYRf/ABVH/C3fA/8A0N2h/wDgwi/+Ko9vS/mX3gdhRXH/APC3fA//AEN2h/8Agwi/+Ko/4W74H/6G7Q//AAYRf/FUe3pfzL7wOworj/8Ahbvgf/obtD/8GEX/AMVR/wALd8D/APQ3aH/4MIv/AIqj29L+ZfeB2FFcf/wt3wP/ANDdof8A4MIv/iqP+Fu+B/8AobtD/wDBhF/8VR7el/MvvA7CiuP/AOFu+B/+hu0P/wAGEX/xVH/C3fA//Q3aH/4MIv8A4qj29L+ZfeB2FFcf/wALd8D/APQ3aH/4MIv/AIqj/hbvgf8A6G7Q/wDwYRf/ABVHt6X8y+8Dr+KOK5D/AIW94I/6G/RP/BhF/wDFUf8AC3vBH/Q36J/4MIv/AIqj29L+ZfeK52FFcf8A8Le8D/8AQ3aH/wCDCL/4qj/hbvgf/obtD/8ABhF/8VR7el/MvvGdhRXH/wDC3fA//Q3aH/4MIv8A4qj/AIW74H/6G7Q//BhF/wDFUe3pfzL7wOworj/+Fu+B/wDobtD/APBhF/8AFUf8Ld8D/wDQ3aH/AODCL/4qj29L+ZfeB2FFcf8A8Ld8D/8AQ3aH/wCDCL/4qj/hbvgf/obtD/8ABhF/8VR7el/MvvA7CiuP/wCFu+B/+hu0P/wYRf8AxVH/AAt3wP8A9Ddof/gwi/8AiqPb0v5l94HYUVx//C3fA/8A0N2h/wDgwi/+Ko/4W74H/wChu0P/AMGEX/xVHt6X8y+8DsKK4/8A4W74H/6G7Q//AAYRf/FUf8Ld8D/9Ddof/gwi/wDiqPb0v5l94HYUVx//AAt3wP8A9Ddof/gwi/8AiqP+Fu+B/wDobtD/APBhF/8AFUe3pfzL7wOworj/APhbvgf/AKG7Q/8AwYRf/FUf8Ld8D/8AQ3aH/wCDCL/4qj29L+ZfeB2FFcf/AMLd8D/9Ddof/gwi/wDiqP8Ahbvgf/obtD/8GEX/AMVR7el/MvvA7CiuP/4W74H/AOhu0P8A8GEX/wAVR/wt3wP/ANDdof8A4MIv/iqPb0v5l94HYUVx/wDwt3wP/wBDdof/AIMIv/iqP+Fu+B/+hu0P/wAGEX/xVHt6X8y+8DsKK4//AIW74H/6G7Q//BhF/wDFUf8AC3fA/wD0N2h/+DCL/wCKo9vS/mX3gdfxRxXIf8Le8Ef9Dfon/gwi/wDiqP8Ahb3gj/ob9E/8GEX/AMVR7el/MvvFc7CiuP8A+FveB/8AobtD/wDBhF/8VR/wt3wP/wBDdof/AIMIv/iqPb0v5l94zsKK4/8A4W74H/6G7Q//AAYRf/FUf8Ld8D/9Ddof/gwi/wDiqPb0v5l94HYUVx//AAt3wP8A9Ddof/gwi/8AiqP+Fu+B/wDobtD/APBhF/8AFUe3pfzL7wOworj/APhbvgf/AKG7Q/8AwYRf/FUf8Ld8D/8AQ3aH/wCDCL/4qj29L+ZfeB2FFcf/AMLd8D/9Ddof/gwi/wDiqP8Ahbvgf/obtD/8GEX/AMVR7el/MvvA7CiuP/4W74H/AOhu0P8A8GEX/wAVR/wt3wP/ANDdof8A4MIv/iqPb0v5l94HYUVx/wDwt3wP/wBDdof/AIMIv/iqP+Fu+B/+hu0P/wAGEX/xVHt6X8y+8DsKSuQ/4W74H/6G7Q//AAYRf/FUf8Ld8D/9Ddof/gwi/wDiqPrFL+ZfeB0uoNttJT7Vz9Ft438P+J457fSNb0/VLiNd7x2dykzKuQMkKTgZo616eGalHmi7nyubO9WK8gooortPECiiigAooooAKKKKACiiigAooooAKKKKACiiigAooooAKKKKACiiigAooooAKKKKACnzf61/rUbVJN/rX+tT9o1/5dv1GYzwOtdFZxeTbontzWLp9uZrpePlXk10IHT0rjry+yfRZXStF1H1HUUUVynvBRRRQAUUUUAFFFFABRRRQAUUUUAFFFFABRRRQB8m/tff8jhof/Xkf/RhrwOvfP2vv+Rw0P8A68j/AOjDXgdfqWTf7lT+f5n5jmn+9zCiiivbPKCiiigAooooAKKKKACiiigAooooAKKKKACiiigAooooAKKKKALWl/8AIStP+uyf+hCvqq8/Yx+GuoXU11NZX3mzyNK5W8YDcxJP6mvlTTf+Qlaf9dk/mK/SGP7q/Svz3iilCtKmpq9r/ofa8P8Awz+R4L/wxL8MP+fHUP8AwOaj/hiP4X/8+Oof+BzV77tFG0V8P9Tw/wDIj62yPAv+GI/hf/z46h/4HNR/wxH8L/8Anx1D/wADmr33aKNoo+p4f+RBZHgX/DEfwv8A+fHUP/A5qP8AhiP4X/8APjqH/gc1e+7RRtFH1PD/AMiCyPAv+GI/hf8A8+Oof+BzUv8AwxJ8MP8Anw1D/wADmr3zaKNoo+p4f+RBZHgX/DEfwv8A+fHUP/A5qP8AhiP4X/8APjqH/gc1e+7RRtFH1PD/AMiCyPAv+GI/hf8A8+Oof+BzUf8ADEfwv/58dQ/8Dmr33aKNoo+p4f8AkQWR4F/wxH8L/wDnx1D/AMDmo/4Yj+F//PjqH/gc1e+7RRtFH1PD/wAiCyPAv+GI/hf/AM+Oof8Agc1H/DEfwv8A+fHUP/A5q992ijaKPqeH/kQWR4F/wxH8L/8Anx1D/wADmo/4Yj+F/wDz46h/4HNXvu0UbRR9Tw/8iCyPAv8AhiP4X/8APjqH/gc1H/DEfwv/AOfHUP8AwOavfdoo2ij6nh/5EFkeBf8ADEfwv/58dQ/8Dmo/4Yj+F/8Az46h/wCBzV77tFG0UfU8P/IgsjwL/hiP4X/8+Oof+BzUf8MR/C//AJ8dQ/8AA5q992ijaKPqeH/kQWR4F/wxH8L/APnx1D/wOaj/AIYj+F//AD46h/4HNXvu0UbRR9Tw/wDIgsjwL/hiP4X/APPjqH/gc1H/AAxH8L/+fHUP/A5q992ijaKPqeH/AJEFkeBf8MR/C/8A58dQ/wDA5qP+GI/hf/z46h/4HNXvu0UbRR9Tw/8AIgsjwL/hiP4X/wDPjqH/AIHNR/wxH8L/APnx1D/wOavfdoo2ij6nh/5EFkeBf8MR/C//AJ8dQ/8AA5qP+GI/hf8A8+Oof+BzV77tFG0UfU8P/IgsjwL/AIYj+F//AD46h/4HNS/8MSfDD/nw1D/wOavfNoo2ij6nh/5EFkeBf8MR/C//AJ8dQ/8AA5qd/wAMS/DD/nw1D/wNave9oo2ij6nh/wCRBZHgX/DEfwv/AOfHUP8AwOaj/hiP4X/8+Oof+BzV77tFG0UfU8P/ACILI8C/4Yj+F/8Az46h/wCBzUf8MR/C/wD58dQ/8Dmr33aKNoo+p4f+RBZHgX/DEfwv/wCfHUP/AAOaj/hiP4X/APPjqH/gc1e+7RRtFH1PD/yILI8C/wCGI/hf/wA+Oof+BzUf8MR/C/8A58dQ/wDA5q992ijaKPqeH/kQWR4F/wAMR/C//nx1D/wOaj/hiP4X/wDPjqH/AIHNXvu0UbRR9Tw/8iCyPAv+GI/hf/z46h/4HNR/wxH8L/8Anx1D/wADmr33aKNoo+p4f+RBZHgX/DEfwv8A+fHUP/A5qP8AhiP4X/8APjqH/gc1e+7RRtFH1PD/AMiCyPAv+GI/hf8A8+Oof+BzUf8ADEfwv/58dQ/8Dmr33aKNoo+p4f8AkQWR4F/wxH8L/wDnx1D/AMDmo/4Yj+F//PjqH/gc1e+7RRtFH1PD/wAiCyPAv+GI/hf/AM+Oof8Agc1H/DEfwv8A+fHUP/A5q992ijaKPqeH/kQWR4F/wxH8L/8Anx1D/wADmo/4Yj+F/wDz46h/4HNXvu0UbRR9Tw/8iCyPAv8AhiP4X/8APjqH/gc1H/DEfwv/AOfHUP8AwOavfdoo2ij6nh/5EFkeBf8ADEfwv/58dQ/8Dmo/4Yj+F/8Az46h/wCBzV77tFG0UfU8P/IgsjwP/hiT4Yf8+Gof+BzUn/DEfwv/AOfHUP8AwOavfdoo2ij6nh/5EFkeBf8ADEfwv/58dQ/8Dmo/4Yj+F/8Az46h/wCBzV77tFG0UfU8P/IgsjwL/hiP4X/8+Oof+BzUf8MR/C//AJ8dQ/8AA5q992ijaKPqeH/kQWR4F/wxH8L/APnx1D/wOaj/AIYj+F//AD46h/4HNXvu0UbRR9Tw/wDIgsjwL/hiP4X/APPjqH/gc1H/AAxH8L/+fHUP/A5q992ijaKPqeH/AJEFkeBf8MR/C/8A58dQ/wDA5qP+GI/hf/z46h/4HNXvu0UbRR9Tw/8AIgsjwL/hiP4X/wDPjqH/AIHNR/wxH8L/APnx1D/wOavfdoo2ij6nh/5EFkeBf8MR/C//AJ8dQ/8AA5qP+GI/hf8A8+Oof+BzV77tFG0UfU8P/IgsjwL/AIYj+F//AD46h/4HNR/wxL8MP+fHUP8AwOavfdoowKPqeH/kQWR5P4J+AHhD4RXV3qHh22uYbm6iFvIZrgyApuDYwfcCut7Vt6x/x6gf7QrFFexhacadPlirI+TzT+OvQKKKK7TxwooooAKKKKACiiigAooooAKKKKACiiigAooooAKKKKACiiigAooooAKKKKACiiigBGqV1ZrgqBkk9qi25YD3roobWKP5lTDHkmuepU5Gepg8K8VFq9kmM0+1+zwjI+duWq3Rij2rgbbdz62nBU4qEdkOooopGgUUUUAFFFFABRRRQAUUUUAFFFFABRRRQAUUUUAfJv7X3/I4aH/15H/0Ya8Dr3z9r7/kcND/AOvI/wDow14HX6lk/wDuUPn+Z+Y5p/vcwooor2zygooooAKKKKACiiigAooooAKKKKACiiigAooooAKKKKACiiigCzpv/IStP+uyfzFfpDH/AKtcelfm/pf/ACErT/rsn/oQr6Uvv26Ph/pd9cWcthrzSW8jRPstYiMqSDj976ivzziirCjOm5u17/ofa8P/AAz+R9IUV81f8N8fDz/oG+If/ASH/wCPUf8ADfHw8/6BviH/AMBIf/j1fDfXqH8x9c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t8O/wDoH+If/ASH/wCO0fXqH8wH0FrX+oX/AHqx64z4b/Hnw98bodTOgW+oQHTWiExvokTPmB9u3a7Z/wBWc9O1dnXt4aUZ01OLumfH5n/HfogooorsPKCiiigAooooAKKKKACiiigAooooAKKKKACiiigAooooAKKKKACiiigAooooAKKKKAHQrumQf7Q/nXTL92ubtVzdR/7w/nXS+lcOI3R9PlK9yT8x1FFFcp7wUUUUAFFFFABRRRQAUUUUAFFFFABRRRQAUUUUAFFFFAHyb+19/wAjhof/AF5H/wBGGvA698/a+/5HDQ/+vI/+jDXgdfqWTf7lT+f5n5jmn+9zCiiivbPKCiiigAooooAt6Tps2tapZadbbftF3OlvFvOF3OwUZPpkivUpv2Z/EdvceRLrGgRTf883vHDfl5dcF8Pv+R/8L/8AYVtf/RyV7B8aPg34v8XfFC/v9M0kzWNx5KpdNPGqjEaKSQW3YBB7dq+dx2KqU8RGkpqCabu0ezhcPGpRlUcHJppaHjfjDwXq3gXV307V7fyZsbkdTuSVezKe4rqvCvwH17xb4as9dttQ0m1srreE+2XLRt8rsh42EdVPet/9ozUFgbwp4ckZpdQ0WwEd1cbSBIzIgwCRkgbCc/7X1q9q3h/U/EP7N/guHTNPutRmS8uGaO1haRgPNm5IAOBWMsdXlh6U+ZRcna/lrqaxwtKNapCzkoq9vu0OH8afCDVPA2lLf32p6TdRNKsQjsbgySZOecFRxxW6P2bfEDAH+3PDv/ga3/xFee6x4U1rw7HHLqmk32nRyNtR7q3aMMcdBuHNX/h14GufiD4rtNJg3JEx33EyjPlRD7zf0HuRXXJ1lR9qq6sr3dl/mc0VTdXkdJ69Lm740+COueBfD41q9vdLurJpVjH2O4ZyWOemUAPQ9689r0343eNrPWdStPD2hFV8N6GvkWywtlJHHDOD/F6A5OevfJ8yrrwEq06CnXer/LoYYyNKNVxorRf0wooor0jhCiiigAooooAs6b/yErT/AK7J/wChCv0aXT7VlBNvET/uCvzl03/kJWn/AF2T+Yr9Io/uCvgeJYqU6d13/Q+2yD4Z/L9Sv/Ztp/z7xf8AfApf7Ntf+faP/vgVZ5o5r4r2cP5UfWlb+zbX/n2j/wC+BR/Ztr/z7R/98CrPNHNHs4fyoCt/Ztr/AM+0f/fAo/s21/59o/8AvgVZ5o5o9nD+VAVv7Ntf+faP/vgUf2ba/wDPtH/3wKs80c0ezh/KgK39m2v/AD7xf98Cj+zbX/n3i/74FWqKfsodgKv9m2v/AD7R/wDfAo/s21/59o/++BVnmjml7OH8qArf2ba/8+0f/fAo/s21/wCfaP8A74FWeaOaPZw/lQFb+zbX/n2j/wC+BR/Ztr/z7R/98CrPNHNHs4fyoCt/Ztr/AM+0f/fAo/s21/59o/8AvgVZ5o5o9nD+VAVv7Ntf+faP/vgUf2ba/wDPtH/3wKs80c0ezh/KgK39m2v/AD7R/wDfAo/s21/59o/++BVnmjmj2cP5UBW/s21/594v++BR/Ztr/wA+8X/fAq1RT9lDsBV/s21/59o/++BR/Ztr/wA+0f8A3wKs80c0vZw/lQFb+zbX/n2j/wC+BR/Ztr/z7R/98CrPNHNHs4fyoCt/Ztr/AM+0f/fAo/s21/59o/8AvgVZ5o5o9nD+VAVv7Ntf+faP/vgUf2ba/wDPtH/3wKs80c0ezh/KgK39m2v/AD7R/wDfAo/s21/59o/++BVnmjmj2cP5UBW/s21/59o/++BR/Ztr/wA+0f8A3wKs8+1Jmj2cP5UBX/s21/59o/8AvgUf2ba/8+0f/fAqxu9xRuHqKPZ0+yAr/wBm2v8Az7R/98Cj+zbX/n2j/wC+BVjd7ijd7ij2dPsgK/8AZtr/AM+0f/fAo/s21/59o/8AvgVY3e9LzR7OH8qArf2ba/8APtH/AN8Cj+zbX/n2j/74FWeaOaPZw/lQFb+zbX/n3i/74FH9m2v/AD7xf98CrVFP2UOwFX+zbX/n2j/74FH9m2v/AD7R/wDfAqzzRzS9nD+VAVv7Ntf+faP/AL4FH9m2v/PtH/3wKs80c0ezh/KgK39m2v8Az7R/98Cj+zbX/n2j/wC+BVnmjmj2cP5UBW/s21/59o/++BR/Ztr/AM+0f/fAqzzRzR7OH8qArf2ba/8APtH/AN8Cj+zbX/n2j/74FWeaOaPZw/lQFb+zbX/n2j/74FH9m2v/AD7R/wDfAqzzRzR7OH8qArf2ba/8+8X/AHwKP7Ntf+feL/vgVaop+yh2Aq/2ba/8+0f/AHwKP7Ntf+faP/vgVZ5o5pezh/KgK39m2v8Az7R/98Cj+zbX/n2j/wC+BVnmjmj2cP5UBW/s21/59o/++BR/Ztr/AM+0f/fAqzzRzR7OH8qArf2ba/8APtH/AN8Cj+zbX/n2j/74FWeaOaPZw/lQFb+zbX/n2j/74FH9m2v/AD7R/wDfAqzzRzR7OH8qArf2ba/8+0f/AHwKP7Ntf+faP/vgVZ5o5o9nD+VAVv7Ntf8An3i/74FH9m2v/PvF/wB8CrVFP2UOwFX+zbX/AJ9o/wDvgUf2ba/8+0f/AHwKs80c0vZw/lQFb+zbX/n2j/74FH9m2v8Az7R/98CrPNHNHs4fyoCt/Ztr/wA+0f8A3wKP7Ntf+faP/vgVZ5o5o9nD+VAVv7Ntf+feL/vgUf2baf8APvD/AN8CrVFP2UOwGNqlvFbwr5USRktztAGaza19a/1KH3rIr1KCSgkj5DNP479EFFFFdJ5IUUUUAFFFFABRRRQAUUUUAFFFFABRRRQAUUUUAFFFFABRRRQAUUUUAFFFFABRRRQBPp+Tex+mf6V0Q71g6UN14PYE1vDtXn1viPrMrVqLfmOooornPZCiiigAooooAKKKKACiiigAooooAKKKKACiiigAooooA+Tf2vv+Rw0P/ryP/ow14HXvn7X3/I4aH/15H/0Ya8Dr9Tyb/cof11PzHNP97mFFFFe0eUFFFFABRRRQBv8Aw/8A+R+8L/8AYVtf/RyV3/7QPijWNN+K2r29pq9/aQosG2GG5dFXMKHgA4615VpuoT6TqNrfWzeXc2sqTxNjOHVgynH1Ar1D/hp7xu3JmsSfX7KP8a8LFYatLERrQgpJJqzdv0PWw9anGjKlOTi209DoviQ1zqPwB8PX3ihZF8Qi622skq/vnjO772RnBUA/UL68xaj4j1Tw1+zf4Mn0u+msJpLu4RngcqSPNmOK8m8XeNta8cagLvWr6S8lQFY1ICpGD2VRwKdfeNtU1DwjpvhuZ4/7L0+RpYVCYYMxYnLd+WP51hDLqnJTjKztLma6Ja6I2ljYc03G+sUk+vTVkWueMNc8URwxapql1fpG26NZ5CwUkYyK9Y1Lyfgd8MYrKP8Ad+NfEEe+aQD95a25/hz1X09zuP8ADx4hFI0MqSIcOjBlOM8g5Feq/wDDTfjfbzPYnjGfsq/41vjcLVnyQowXIndra/4GOFrU488qsnzNWT3seT0V6D4s+OXijxtodxpGpy2rWU5UuIoAjfKwYc/UCvPq9PDyqyj+9iovyd/8jgqxpxl+7k2vNBRRRXUYBRRRQAUUUUAWdN/5CVp/12T+Yr9Io/uCvzd0z/kJWn/XZP5iv0ij+4K+D4k+On8/0Ptsg+GfyH0UUV8cfWhRRRQAUUUUAFFFFABRRRQAUUUUAFFFFABRRRQAUUUUAFFFFABRRRQAUUUUAFFFFABRRRQAUUUUANzWRr/irSPCtib3WNTtNLtAcGa7mWJM+mWI59qzPiVrOp+H/AOv6no1sLzVrWylmtLfaW8yUKSq4HXnHA61+S3jnx74k+IGtS3/AIm1W61K9BIAuXO2L1VE6IPYAfnXzua5ssuSio80n9x9Lk2SyzZyfPyxjv3P0Q8VftwfC/w1vWDU7rW5VXds062LAnPQM+1c/U15d4h/4KP2kVwyaJ4LuLmEj5ZtQvVhYH/cRHyP+BV8O0V8PV4jxtR+61H0R+iUOE8BS/iJy9X/AJH1BqP/AAUI+Itysi22l6FaK2djLBK7qO3JkwT+Fco37bHxcZj/AMVDCM9hYQD/ANkrwqivNnm2NnvUZ60Miy6CsqSPVL79qT4qX05lbxnqEJP8MDKi/kBVYftL/FHH/I76t/39/wDrV5pRXM8dipauq/vZ1rLcEtqMfuR6X/w0t8Uh/wAzxq3/AH9/+tSj9pj4pf8AQ8at/wB/v/rV5nRS+u4n/n5L72P+zsH/AM+Y/cv8j2TSf2vvixpMWxPFUtyPW6gilP5stb+j/t1fFbS599xf2GqJj/VXVkir/wCQ9p/Wvnyito5ljI7VJfeYTybL5/FRj9x9daD/AMFGfFFrI39s+FNL1BP4RZTyWxH1LeZn8hXpXhn/AIKIeDtQWBNa0PVdImY/vHi2XEKf8CBVj/3xX590V6FLP8dT3lf1R5lbhfLau0eX0bP1j8D/ALSvw68fSRQ6X4ns0u5MbbW8byJCScBQHxkk9hk816irbhkNkV+JfQivrf8AYh+LXju78dWfhV7i51jwqUcStdsXFjtjJQRu3IBKBQg4wSQOCa+py3iF4mpGjVhq+q/U+NzbhdYKlKvRqXS3T/Rn6AL0paRelLX258AFFFFABRRRQAUUUUAFFFFABRRRQAUUUUAFFFFABRRRQAUUUUAFFFFABRRRQAUUUUAFFFFABRRRQAUUUUAFFFFABRRRQBm6wv8Ao6n/AGqxq2dZ/wCPUf7wrGrvofAfI5ov3/yQUUUV0nkBRRRQAUUUUAFFFFABRRRQAUUUUAFFFFABRRRQAUUUUAFFFFABRRRQAUUUUAFFFFAF/Rl/fsfRa2x0rI0UfNKe/ArXWvNrfEz7PL1bDxFooorE9IKKKKACiiigAooooAKKKKACiiigAooooAKKKKACiiigD5N/a+/5HDQ/+vI/+jDXgde+ftff8jhof/Xkf/RhrwOv1PJv9yh/XU/Mc0/3uYUUUV7R5QUUUUAFFFFABRRRQAUUUUAFFFFABRRRQAUUUUAFFFFABRRRQBZ03/kJWn/XZP5iv0jj+4K/NzTf+Qlaf9dk/wDQhX6Rx/cH0r4PiT46fz/Q+2yD4Z/IdRRRXxx9aFFFFABRRRQAUUUUAFFFFABRRRQAUUUUAFFFFABRRRQAUUUUAFFFFABRRRQAUUUUAFFFFABRRRQB5b+0tLJb/AnxpLE7RSR6dIyuhwVIwQQexr80ZviRF4jhSPxdosGvXCBVXVoX+y3+0BRh5FBWX5VAzIrN/tV+l37Tf/JBfHH/AGDJf5V+TNfm3EtWVPEQUdrfLc/UuEaEK2HqOS1Ut9nt3O2j0XwLq2z7N4i1DQpSrsV1Sy86JSPur5kJLc+vl05fhJe3sds+ka/4a1vzzhI4NXhglz6eVcmJ8/8AAa4eivj/AGtOXxQ+7Q+89hWj/DqP5pP/ACOwvvg3460+6aCTwlrEjr1NrZvOn4NGGU/ga5260HU7KZ4bjTruCVDho5YGVlPoQRVezvLjTphNa3EttMOBJC5Rh+IrXt/HniW0mWWHxBqiSL0YXknH60v3HZ/gFsUusX96/wAzHltZ4BmSGSMf7SkVFXXXHxf8a3key58UancJ/dmuGcfrVf8A4WX4o/6DV1/30P8ACjlo/wAz+4aliesI/e/8jmaVVLnCjcfaul/4WZ4o/wCg1df99D/Clj+J3iqJgya7eI3ZlcA/nijlo/zP7h82J6RX3v8AyMAabdtyLWYjrnyz/hWppXgTxLrsLy6b4d1bUI0OGe1sZZQPqVU1o33xb8aalb+Rc+KdWlh/uG7fH86xrjxVrd3C8U+sahNEww0cl07KR7gmn+5Xd/cL/a3/ACr73/kdDH8G/F4sReXmkro9qW2iTWbuCwGfTE7oakl+HekaQxGs+ONEiby9/k6X5uoSbuyBkURE/wDbTFcLtFLT9pRjtC/qyfY4iT96pb0X+dztDeeA9H2tb2GreJJV2n/TpVs4GO07gyRlnIzjo4OO9eqfswePNS8TftE+CLN47XTNJt5LpoNL02AQW8bfY5QWIHLucDLuWY+tfO9ezfsc/wDJyXg3/fuv/SSau/AVpPFU4qyV1seZmmFpxwVWcrykovV+n3L5H6orS0lLX7SfgoUUUUAFFFFABRRRQAUUUUAFFFFABRRRQAUUUUAFFFFABRRRQAUUUUAFFFFABRRRQAUUUUAFFFFABRRRQAUUUUAFFFFAFDV13Wh9iDWHW/qnzWclYFd1D4T5XNV+9T8gooorqPECiiigAooooAKKKKACiiigAooooAKKKKACiiigAooooAKKKKACiiigAooooAKKKKANjRF/0dmx1atE9aqaYuyzjH4/rVyvKm7yZ93hY8tGC8haKKKg6gooooAKKKKACiiigAooooAKKKKACiiigAooooAKKKKAPk39r7/kcND/AOvI/wDow14HXvn7X3/I4aH/ANeR/wDRhrwOv1PJv9yh/XU/Mc0/3uYUUUV7R5QUUUUAFFFFABRRRQAUUUUAFFFFABRRRQAUUUUAFFFFABRRRQBZ03/kJWn/AF2T/wBCFfpHH9wfSvzc03/kJWn/AF2T/wBCFfpHH9wV8HxJ8dP5/ofbZB8M/kOooor44+tCiiigAooooAKKKKACiiigAooooAKKKKACiiigAooooAKKKKACiiigAooooAKKKKACiiigAooooA8t/ae/5IH44/7Bkv8AKvyZr9Zv2nv+SB+OP+wZL/KvyZr8w4o/3iHp+p+tcG/7tU/xfoFFFFfFn6GFFFFMAooooC4UUUUAFFFFABRRRSAK9U/ZfvL/AE/426HdaVbLe6nBb38trbMCRLMtjOUQ4I6tgdR1ryuvZ/2Of+TkPBv+/df+kk1ehl6vi6a80eRm3+4Vv8L/ACPqT/hdX7RP/RL7H/vxL/8AH6P+F1ftE/8ARL7H/vxL/wDH6+q/wpfwr9g+q1P+frP56PlP/hdX7RP/AES+x/78S/8Ax+j/AIXV+0T/ANEvsf8AvxL/APH6+rPwo/Cj6rU/5+sD5T/4XV+0T/0S+x/78S//AB+j/hdX7RP/AES+x/78S/8Ax+vqz8KPwo+q1P8An6wPlP8A4XV+0T/0S+x/78S//H6P+F1ftE/9Evsf+/Ev/wAfr6s/Cj8KPqtT/n6wPlP/AIXV+0T/ANEvsf8AvxL/APH6P+F1ftE/9Evsf+/Ev/x+vqz8KPwo+q1P+frA+U/+F1ftE/8ARL7H/vxL/wDH6P8AhdX7RP8A0S+x/wC/Ev8A8fr6s/Cj8KPqtT/n6wPlP/hdX7RP/RL7H/vxL/8AH6P+F1ftE/8ARL7H/vxL/wDH6+rPwo/Cj6rU/wCfrA+U/wDhdX7RP/RL7H/vxL/8fo/4XV+0T/0S+x/78S//AB+vqz8KPwo+q1P+frA+U/8AhdX7RP8A0S+x/wC/Ev8A8fo/4XV+0T/0S+x/78S//H6+rPwo/Cj6rU/5+sD5T/4XV+0T/wBEvsf+/Ev/AMfo/wCF1ftE/wDRL7H/AL8S/wDx+vqz8KPwo+q1P+frA+U/+F1ftE/9Evsf+/Ev/wAfo/4XV+0T/wBEvsf+/Ev/AMfr6s/Cj8KPqtT/AJ+sD5T/AOF1ftE/9Evsf+/Ev/x+j/hdX7RP/RL7H/vxL/8AH6+rPwo/Cj6rU/5+sD5T/wCF1ftE/wDRL7H/AL8S/wDx+j/hdX7RP/RL7H/vxL/8fr6s/Cj8KPqtT/n6wPlP/hdX7RP/AES+x/78S/8Ax+j/AIXV+0T/ANEvsf8AvxL/APH6+rPwo/Cj6rU/5+sD5T/4XV+0T/0S+x/78S//AB+j/hdX7RP/AES+x/78S/8Ax+vqz8KPwo+q1P8An6wPlP8A4XV+0T/0S+x/78S//H6P+F1ftE/9Evsf+/Ev/wAfr6s/Cj8KPqtT/n6wPlP/AIXV+0T/ANEvsf8AvxL/APH6P+F1ftE/9Evsf+/Ev/x+vqz8KPwo+q1P+frA+U/+F1ftE/8ARL7H/vxL/wDH6P8AhdX7RP8A0S+x/wC/Ev8A8fr6s/Cj8KPqtT/n6xHzn8Pvih8Z/EHiyy0/xV4AtdI0KYSC4vYonVogEYqeZWHLADp3r2KunkyYyPauY2leDwa9fBU5U4uMpOXqfN5tHWMgooor1D54KKKKACiiigAooooAKKKKACiiigAooooAKKKKACiiigAooooAKKKKACiiigAoop0a75EX1YfzpPYuEeaSR0VsnlwKo7ACpj0pq/dApx715LPv4rlikLRRRSLCiiigAooooAKKKKACiiigAooooAKKKKACiiigAooooA+Tf2vv+Rw0P/ryP/ow14HXvn7X3/I4aH/15H/0Ya8Dr9Tyb/cof11PzHNP97mFFFFe0eUFFFFABRRRQAUUUUAFFFFABRRRQAUUUUAFFFFABRRRQAUUUUAWdN/5CVp/12T+Yr9Io/uCvzd03/kJWn/XZP5iv0ij+4K+D4k+On8/0Ptsg+GfyH0UUV8cfWhRRRQAUUUUAFFFFABRRRQAUUUUAFFFFABRRRQAUUUUAFFFFABRRRQAUUUUAFFFFABRRRQAUUUUAeW/tPf8kD8cf9gyX+VfkzX6zftPf8kD8cf9gyX+VfkzX5jxR/vEPT9T9a4N/wB2qf4v0Cvaf2a/hHovxEuPFGueJWml0DwzZrd3NjbFlkuSwcqgZeVGI2zjnkcjmvFq9L+A3xrvPgp4onuxarqeiahF9n1HTmOBLHzgjtuXJxkYIYjvmvmsDKlGvF1vh/qx9dmkK88LOOGfvf1f52O51D4yfB/xdZ3Gman8Ko9AtQki2uoaNMFuYm2EKzgBQ5zjhiw9jXFfs+fBWf43+NhpRuvsOmWsZuL66TBeOMEDCg8ZJOM845PavXL/AOC3w2/aCs73U/hPqbaH4jgiNxP4ZvxtVxnJ2cnZgtjKllztGFzmq37L9rLY/Bv49o6eTeQaQYm6bkxDdBhkemP0r3vq8qmIh7ZKUNWnG1nbW2h8r9cp4fCVPqzlGp7qaldtNu19SjefFj4I+EZLrw7pnwxXxHpkbNBLrF7cA3M+BtMkbYJXOMjaVHOQBUHw2sPhHrnx88P2WmadJe+GNetJLeTTdXLZ0+6YNsVXz8+SqqpJJ/eZzkcfOXTitPwvrkvhnxNpWrwFhNY3UVyvlthsowbg9jxXmxx/PVSnCPKmumyPZnlKhQk6VSXM4v7T1dt/+GL3xE8Jy+BvHev+H5Fbdp99LbKWUjeoY7WAPOCuCPavpz4zfs56D4T/AGYdE1vTNNij8R6fFa3Oo3EbHzHWYYYuGOcbiuBjjBxgZqL9oT4Zw+PP2lPAV3YxmSx8ZQ2087Qy5ZljwJnGeABAEPH908ZrpPCvi+P4tfHX4x+DZJYxYa7pzWNpuBdEktV8tHAPTG5n4717FHB06c6sJr43aP3XX6Hz+IzGtVhQq05W5EpT89Umn+LPnn9mD4e2vxM+MWk6ZqNt9q0m3SS9vEb7nlRrwG9i5Rf+BV2Hwd+E3hT4wfE3x3rE8Mll4J0FpL1dLtdyvNCXcxx7gSVG1DkKc84GO1/4D6a/w4+C3xd8aX0K22oRQjQLcTKRJFIxAlU+mWeL6FK8w+Bvxs1H4J+K5NRt7ddR069j+z6hYSNtE8eeoPZhk4JB6kd64qcaGGVGFdbtt/kvl1PRrSxOMliJ4aXwpRX5v562uehXXxm+DfiiOXSdU+FKaHpoRkttR0ecC7jO0hWbhd5BxwxYdyDXzvX1bf8Awf8Ahn+0Zb3uofC3UW8P+K0Q3Evh2/G2OQdW28nbgnGVJXgDAzmvlrUNPuNJ1C6sbuIw3VrK0M0bdUdSQw/Ag1x5lGquWU+Vx6OKVn9x35POh78YcykrXjJtteevfuivXs37HP8Aych4M/37r/0kmrxmvVf2XL670v44aDeafaf2hf28F/Nb2gODPItlOVTP+0QB+NcmXvlxdN+aO/Nv9wrf4X+R+sO6jdXzJ/wvz4z9vg/J/wB/mo/4X18aP+iPv/3/AHr9g+vU+z+5n88H03uo3V8yf8L6+NH/AER9/wDv+9H/AAvr40f9Eff/AL/vR9ep9n9zA+m91G6vmT/hfXxo/wCiPv8A9/3o/wCF9fGj/oj7/wDf96Pr1Ps/uYH03uo3V8yf8L6+NH/RH3/7/vR/wvr40f8ARH3/AO/70fXqfZ/cwPpvdRur5k/4X18aP+iPv/3/AHo/4X18aP8Aoj7/APf96Pr1Ps/uYH03uo3V8yf8L6+NH/RH3/7/AL0f8L6+NH/RH3/7/vR9ep9n9zA+m91G6vmT/hfXxo/6I+//AH/ej/hfXxo/6I+//f8Aej69T7P7mB9N7qN1fMn/AAvr40f9Eff/AL/vR/wvr40f9Eff/v8AvR9ep9n9zA+m91G6vmT/AIX18aP+iPv/AN/3o/4X18aP+iPv/wB/3o+vU+z+5gfTe6jdXzJ/wvz40f8ARH5P+/zUv/C+/jR/0R9/+/7UfXqfZ/cwufTW6jdXzJ/wvr40f9Eff/v+9H/C+vjR/wBEff8A7/vR9ep9n9zA+m91G6vmT/hfXxo/6I+//f8Aej/hfXxo/wCiPv8A9/3o+vU+z+5gfTe6jdXzJ/wvr40f9Eff/v8AvR/wvr40f9Eff/v+9H16n2f3MD6b3Ubq+ZP+F9fGj/oj7/8Af96P+F9fGj/oj7/9/wB6Pr1Ps/uYH03uo3V8yf8AC+vjR/0R9/8Av+9H/C+vjR/0R9/+/wC9H16n2f3MD6b3Ubq+ZP8AhfXxo/6I+/8A3/ej/hfXxo/6I+//AH/ej69T7P7mB9N7qN1fMn/C+vjR/wBEff8A7/vR/wAL6+NH/RH3/wC/70fXqfZ/cwPpvdRur5k/4X18aP8Aoj7/APf96P8Ahffxo/6I+/8A3/ej69T7P7mB9NMwrmrhdtxIP9o14U3x8+NH/RH3/wC/zV7B4d1S+1vQdP1DU9Ok0nUbmBZLixk6wyY+Zfzr0cHio1pOMU/mrHiZpG9KL7M0qKKK9o+WCiiigAooooAKKKKACiiigAooooAKKKKACiiigAooooAKKKKAFaPbHG3QtnNJT5P9TB9G/pTKiJrUST07L8goooqzIKhurz+z7aa6yo8ldw3HgnoB+ZFS+tcr8SNSFlolnbgrvvL6GPaeu1WDk/mF/OuDG1lh6Eps9bK8O8Vi4U13/I9UTpTqjj/1a/SpK5I7H14UUUVQBRRRQAUUUUAFFFFABRRRQAUUUUAFFFFABRRRQAUUUjdKAPk79r7/AJG/Rf8Aryb/ANGGvA6+zPj18GZviVa219p0yx6vZoURJSQkyE525/hOeh9+fUfImueHdU8M3j2mq6fcafcI20pPGVz7g9CPccHtX6RkmKpSw0aXN7y6fM/O82w9SGIlVa919TOooor6U8AKKKKACiiigAooooAKKKKACiiigAooooAKKKKACiiigAoop0cbzSKkal3Y4CqMk1Lly7lavQsaXzqVp/12T/0IV+kEfCD6V8hfB/8AZ61bxFqVrquu28umaVDIsiwyqUmnwc4x1Vfc9e3rX18vC4r87z7E0q9WKpu/Le593kmHqUacpVFa9rD6KKK+YPpgooooAKKKKACiiigAooooAKKKKACiiigAooooAKKKKACiiigAooooAKKKKACiiigAooooAKKKKAPLf2nv+SB+OP8AsGS/yr8ma/Wb9p7/AJIH44/7Bkv8q/JmvzDij/eIen6n61wb/u1T/F+gV6f8KPhd4a+Jmh6jBdeMbXw14oinH2S21PC21xFsJ5fqrbgeRnAH3TkV5hRXyVGpGnNSnHmXY+5xNGdany058r7n1t8Gfh/oP7N+vXHjnxd478PX0lnbSxWem6Hdm4eZ3XHPyg9MjG0jnJIxXB/s+fHvT/BfxG8QS+KIN3hrxT5keoRFfNSLczFSyAfMoDsp46MeK8For03mTg4KjHljF373v3PFjk8aiqPEzc5TSV9rJaqx9H+IP2U9G1PWhe+FfiX4Vfwzcv5qNqN9suYULcqFAIcgdyVz3x1ryr4ueGPCPhDWbDTfCniB/Eyx24N7f7dkTT5ORGP7uMdzz3rhaK56+Io1E1TpKLfW7/A6sLg8RSmnVruSXSyX39z7p+AXxN8J33wb0HxB4k1OCHXvAttfWsEM7xrLIvlgxtEuctiIiMcZJDV8s/Bf4hzeEfjRoPia8udiNqOb6ZmKr5crFZWbGMgBi2OnyivPKK6KmZVKvstLOFvm+7Oehk1Kh7Zc11V/Ba6L7z64/bJ8XeHtF8J6X4Q8I6nBeWuq6rda5qX2W68zDsxIU7TgqzyO209CintXinwj+GPhn4labqdrfeMbXwx4ijkU2MWoDFtcJtbKluNp3AcjOB/Cc15lRWdfHLEV/bVIJraxphsslhcJ9Xo1GpXvzdb/ANaH1p8G/hnof7PPip/G/jHx54duorGGRLWy0O7a6lmkdSMEbVPQ9MHOeSMc/MXjDxA3i7xZrOtNF5B1C8luvLznYHcsFzgZwCO3asiioxGLVWnGjTjyxWvfVmuDwEqFWWIrT55ySW1lb0CvZv2Of+TkfBv+/df+kk1eM17P+xz/AMnIeDf9+6/9JJqnLf8Ae6Xqh5v/ALhV/wAL/I/VAdKKKWv3E/noSilopgJRS0UAJRS0UAJRS0UAJRS0UAJRS0UAJRS0UAJRS0UAJRS0UAJRS0UAJRS0UAJRS0UAJRS0UAJRS0UAJRS0UAJRS0UAJRS0UgGtWLrUe2ZWHG4Yrbb7prO1iPfb7uu05rak+WaODHU/aUJIxqKKK9M+JCiiigAooooAKKKKACiiigAooooAKKKKACiiigAooooAKKKKAJJP9XEPY/zqOnSf8s8f3f6mm1Edjar8X3fkFFFFWYhnnFeU/FbUvN8WaBYg8QlZWGOhZx3+iivVlUuwA6k4rx/4tKI/idYoOirbj/x6vk+I6jjhoxXWS/M+94QoqeLnUfSLt9x9Dxf6pfpUlRx/6tfpUlelH4UdL3CiiiqEFFFFABRRRQAUUUUAFFFFABRRRQAUUUUAFFFFABRRRQAVnatodhr1q1vqFlBewNwY54w6/ka0aKabi7omUVJWZ4x4q/Zb8I67vlsFuNDuCGP+ivujLHoSjZ4HopXrXnGr/shazbbzputWt4oHyrPG0TE/hkCvqz6ikxmvUo5pi6Oindeep5lXK8LW1cbemh8Qap+zj4802TamkJfLjJktbhCP/HiD+lcfqHgXxJpMLzXvh/VLSGP70s1nIqD/AIERiv0Q20jIPSvUp8RYmPxRTPMnkNF/BJo/NUghsEYNJX6Q3mlWmow+VdWsNzH/AHZow4/I1jzfDnwvMpD+HtLIPXFnGP6V3R4k/np/czjlw+/s1PwPz2or70k+CfgeZiz+G7Lcf9gj+tQt8CfAsgIPh20H0DD+tbf6x0usH+Bi8hrdJo+EaK+35v2cfAUzFjouzPHyTyD+tV/+GY/AH/QLn/8AAyX/AOKrT/WLD/ysn+wa/wDMj4oor7Zj/Zo8BRZxpMjf711If61oQfAPwLAoA8P27+8jMx/U0nxFQ6RYf2DX6yR8LUV95D4HeBR/zLVj+Kn/ABq9a/CnwhYrth8Oaao/2rZW/mDWf+sdPpTZa4fq9Zr8T4A57DNXdL0PUtbm8rT9Our+TrstYGkP5KDX6E6f4S0bSn32ek2No/8Aegt0Q/oK0/LX+6BXLPiSX2Kf4nTHh/8Amn+B8GaT8E/HOsxCSDw3eRpu2n7UBAfrtcg4+grtdL/ZP8W3n/H5dafYrgEZkaQ/TAFfYG2lxXDUz7Fy+GyO2nkeGj8TbPnjw7+yHpVvIsms6zdX2Np8m2QQqSOoJO4kH22mvXPDHwx8M+DlX+ydHtrZ1/5bFd8h+rtlj+ddVj8KGxxXj1sZiMR/Em2erRwVCh8EFcXpS0UVxncFFFFABRRRQAUhFAaoJ7qK1haWaRYolGWdztUD1JNAbbk56UnWuB1z41eFtH3ILxr6Vc/JaJv5B6ZOB+tcLrH7SE7M66VpKIM/LJeSFsj3VcY/76NdEMNVntE4qmMoU/ike8UcV8sal8avFmoeYBfraIxyFt4lG32Bxn9awbzx14iv2DTa1fEj+7Oy/oCK6o5fU6s4JZtSXwxbPsFpkT7zgD61lXnjDQ9PmMVzrNhbyd0lukVvyJr48uLqa7kMk8sk0n96Ryx/M1F/Ot1l3eRzyzd/ZgfW958UPCun483XbNs/88X83/0HNUv+F0eDuf8Aicqf+2Ev/wATXyrRWiy+HWRk82qdIo+ppPjZ4QjXjVd/+7BJ/Vagb47+ElOPtkzf7sDV8wUVf9n0u7I/tWt2R9QR/HbwlJn/AE2Zf96Bv8KnT42eD266vt/3oJP/AImvliil/Z9Pux/2rW7I+qv+F0eDf+g0n/fmX/4mtGz+Jfhe+jDxa7Yqv/TaYRH8mxXyJRU/2dDpJlLNqnWKPs2x8U6PqTFLTVbK6cdVhuEcj8jWisit0Ofxr4h6e30qe11C60999rczWz/3oZCh/MGs3l3aRtHN/wCaJ9t7qSvj2z8feJLFSIdcvgD/AHpi38810Om/HPxXp7IJLmG9jVcbLiIc/Urg/rWEsvqLZo6I5rSfxJo+oqK8O0f9pFdqrq2kOCB80tnIDk+yNjH/AH0a7vQ/i74Y15lSPUVtpW6R3Q8s9PU8frXJLD1ae8Tvp4yjU+GR29FMWRZFDKdwPIxTsisDsFooooA8t/ae/wCSB+OP+wZL/KvyZr9Zv2nv+SB+OP8AsGS/yr8ma/MOKP8AeIen6n61wb/u1T/F+gUU386Pzr4s/Qx1FN/Oj86A1HUU386PzoAdRTfzo/OjUB1FN/Oj86AHUU386PzoAdXs37HP/JyHg3/fuv8A0kmrxf8AOvaP2Of+TkPBv+/df+kk1ejl3+90/VHkZt/uFb/C/wAj9UaWkpa/cj+eQooooAKKKKACiiigAooooAKKKKACiiigAooooAKKKKACiiigAooooAKKKKACiiigAooooAKKKKACiiigAooooAKKKKAGjpUNxF50LL7VOOlJjrQTJKSaZyxUqxB4I4oq3qlv5NzuA+V+fxqpXqRlzJM+Er03SqOD6BRVq3tM2csuOSOPwqotEZKTdhVKMqUYuXUWiiitDAKKKKACiiigAooooAKKKKACiiigAooooAKKKKAQ6TO5R6KKbVq/tzH5bgcMoB+uKq1EHdXOjEQlTm4yCiiirOcs6ZCZboei8mvF/i5/yVK0+kH/AKFXvGkW/lw7yPmfn8K8I+Lv/JVLP6W//oVfE8Qy5qMf8S/M/VOFKPsZu+7jJ/gfQsP3F+lSVHD9xfpUle1D4UcL3CiiitBBRRRQAUUUUAFFFFABRRRQAUUUUAFFFFABRRRQAUUUUAFFFFABRRRQAUUUUAFFFFABRRRQAUUUUAFFFFABRRRQAUUUUAFFFFABRRRQAUUUUAFFFFABSelLRQBzfjjxSvg/w3d6o0XnNEAqR5wGYnAz7ZP6V8veKfG+seMLjzNRu2eMHKW6HbGn0X19+tfQ3xmvobPwTcfaYfPt5JEjdQcHBPUH1Bwfwr54m8LvdQtdaPL/AGrajlo0XFxF/vxdfxXI969nAxhy88lqfOZlOo58kXp2MKilZTGxVgVb0YYNJXsnzoUUUUwCiiigAooooAKKKKACiiigAooooAKKKKACiiigAo49KKkht5bqVYoYnmlY4VI1LEn0AFJ+Y9zp/BvxK1rwXMi29y1xYA/NZzMSmM87f7p+lfUuhaxFr2j2eoQArDdRLKqt1AIzg+9fJy+HYtKVZtcnFscblsIzm4f03DpGOf4ufQGvp34e3g1DwXpE6wpbo8C7Yo/uoo4Cj6ACvCxsYaSij6XLalS7hN6HT0UUleUe+eXftPf8kD8b/wDYMl/lX5M1+tv7RmnXOrfA7xra2kL3Fw+mTbIowWZsLnAA6nivyS/nnBr8y4pi/bwfS36n6xwbJfV6i8/0CiiividT9FCiiijUAooooAKKKKACiiijUAoooo1ATmvaP2Of+TkPBv8Av3X/AKSTV4xXt/7F+m3d9+0T4Ynt7eSaG0FzNPIqkrGht5EBY9hudR9SK9LLU3i6fqjxs4aWAq3f2X+R+pFLSL0pa/cT+ewooooAKKKKACiiigAooooAKKKKACiiigAooooAKKKKACiiigAooooAKKKKACiiigAooooAKKKKACiiigAooooAKKKKACiiigCvdWyXUZRv/wBVZseit5nzt8nt1NbAo4zjFXGcoqyOWrhqVaSlNaoj8tVi2AcYxiubZfLkZP7pxXT1gajH5d03HDc1vh5atHmZpTvTjJdCtRRRXcfLhRRRQAUUUUAFFKy7VBznjP60lK42nHcKKKKYgooooAKKKKAClVdzAeppKktl3XEY/wBoVMtma0o804o3Lq3FxbFO+OPrXPsrRsVYYYcGuox0rM1e2iWCS5d/KSJS7tjI2gZJrhp1VC/NsfUY3BuulKn8SMrmpbS2NxMF/hHLVU0e9steZvsGoWt3tAZvJmVioPTIByPxrp7W0S1j2r1PJPrVvEQnC8JXv2POw2X1fafvouKXcnVQq4AwK+efi7/yVS0/7d//AEKvoivnf4u/8lUtP+2H/oVfI55/Aj/iX5n6Tkf+8S/wv8j6Fh+4v0qSo4fuL9Kkr34fCjwHuFFFFaCCiiigAooooAKKKKACiiigAooooAKKKKACiiigAooooAKKKKACiiigAooooAKKKKACiiigAooooAKKKKACiiigAooooAKKKKACiiigAooooAKKKKACiiigDzT4/f8AJP5P+viP+Zr5pjkaGRXjZkdTkMpwR9DX0t8ff+RAk/6+I/618z19Bgf4XzPksz/j/I24fF1+rAXa2+qR8fJfRCTtj733hx6EVI194dvlHm6ZdabLs+/ZXHmR7vXy5BnH/A6wKK7vZx6aHl+0l11NhdL0qeRFh1rywy5Ju7ZkwfT5d355py+F3mjZ7fUtNnCnGDdLEfyfbWLRRyy6SHzRe8TebwHr/wBnW4j0ya6gbo9oVnB/74JqheeH9U02LzbvTLy1j/vzQOg/Mis/aPStK18SatYxiO31S9t416JFcOoH4A0fvO6D932Zm7h60v61u2/jrxDa58vWr4/9dJ2b+eain8XardNumnimb+9JbRMfzK07z7f19wWh3/r7zHorTXxJer/BZt/vWUJ/9lqUeKr0f8sLD/wBh/8Aiam8+39fcFod/wADHorXbxReN/ywsP8AwBh/+JqNvEl82Di0XH92zhH/ALLRefb+vuC1Pv8AgZlGD6Gtq18aazYnNtdrbN6wwRofzC06fxx4huGBfW77P+zcMo/Q1Xv9l/XyFaHd/d/wStb+F9ZuoxJBpF/NGejx2zsD+IFW5PAuuW9us1zY/Yo24VryVIM/g7Cs+813UtSj2XeoXV0nULNMzj9TVGp/ed0P932Ztt4ZEDJ9p1bTYd392fzcf98Aj9ab/Z2jQ+Z52rySspAVbW0Lbh35ZlxWNRT5ZPeQc0VtE3/7U0KxZvsWjSXj7gVk1O4LDA/6Zxhf1Y1BceLNSlQxwzLYw9PKskEK4znHy4z+NY9FHs49Q9rLpoFfWvwr5+Huh/8AXuP5mvkqvrb4U/8AJPtD/wCvcfzNebmHwxPXyr+LL0Otooorwz6kjZQ67SM/WvD/AImfsf8Aw9+Jk73UthJoeoudzXmkssLOf9pCpU/XGeOte50mPauath6WJjyVY3R00MTWwsuejNxfkfn74q/4J2+KtP8AMfQvEWn6vGFBVbqNraQtnkY+dcdP4q8y1z9jz4r6NI4Xww1/Go3ebZXEbqfoCwJ/Kv1QGKQoK+crcOYOo7xvH0Z9RQ4qzCkrSal6r/I/HLUvhT410eGWW+8I67aQxAl5ZtNmVFx1JYrjHvXLfd6jH1r9stiN1VfypklpDIpV4Y2UjBDKCK82fCsH8FT8P+CevDjSqvjpJ+j/AOAfif3x0NLX7EXXwk8EX0jSXHhDQ53Y5ZpNOhYk++Vqv/wpL4f/APQkeHv/AAVwf/EVz/6qz6VF9x0f65x60X9//APx/or9gP8AhSfw+/6Ejw9/4K4P/iKB8E/h+vI8E+Hgf+wXB/8AEUv9VZ/8/V9w/wDXOH/Pl/f/AMA/H7Iq7pOi6jr14tpplhdajdMMiG0haVz/AMBUE1+x2j+B/D3h3J0rQ9O00twfslpHFn/vkCtdbeNekaj8K1jwp/NV/D/gmM+M5fYo/j/wD8j9D/Z7+JPiSV47PwVrAK8k3Vq1sD9DLtB/CvRPDf7C/wAT9a8lry0sNHjk+99sugWT6qgav0w2gdBj8KMfhXoU+GMLH45Nnm1eLsdPSEVH5XPjHwH/AME7dPtZI7jxd4jm1Dby1lpkfkpkN0MjZYgj0Cnnr3r6j8B/DPw18NNNNj4b0i30uA43mJcvIQAMsx+Zj9Sa638KQ17+Gy7DYTWlCz79T5nFZli8b/GqNrt0+4VelLRRXpnmBRRRQAUUUUAFFFFABRRRQAUUUUAFFFFABRRRQAUUUUAFFFFABRRRQAUUUUAFFFFABRRRQAUUUUAFFFFABRRRQAUUUUAFFFFABSN0paKAGtWVrUfyo47cGtaqt9D51s6jrjirpy5ZJnLiqftaMonP0Ui0teqfCBRRRQAUUUUAPb/Ux/U0yn8fZ/fd/T/61MqImtTo/JBRRRVmQUUUUAFFFFABVnTF3Xi+wJqtV/R1/wBIckcAVlUdos7cHHmrxXmbfesnxT/yLep/9e0n/oJrW71leKP+Rb1X/r2k/wDQTXi1v4cvRn3tL+JH1R4/+zr/AMhLWf8ArlH/ADavdPWvC/2df+QlrP8A1yj/AJtXunrXi5D/ALjD5/me1nn+/wA/l+QtfO/xd/5Kpaf9sP8A0Kvoivnf4u/8lUtP+2H/AKFWeef7vD/Eisj/AN5l/hf5H0LD9xfpUlRw/cX6VJX0MPhR8+9wooorQQUUUUAFFFFABRRRQAUUUUAFFFFABRRRQAUUUUAFFFFABRRRQAUUUUAFFFFABRRRQAUUUUAFFFFABRRRQAUUUUAFFFFABRRRQAUUUUAFFFFABRRRQAUUUUAeafH7/kQZf+viP+tfM9fTHx+/5EGX/r4j/rXzPX0GA/hfM+SzT+N8gooor0zxwooooAKKKKACiiigAooooAKKKKACiiigAooooAKKKKACiiigAr0rUPih8SfBukeHbHwh4EPibS20yOVrwJIdspdwU+U44AU/8CrzWvrb4V/8k90P/r3H8zXhZtTlUpRjGTjruj3cp/iS9DwT/hf3xz/6JE3/AH6m/wAaP+F/fHP/AKJG/wD36m/xr6m20ba+U+p1P+fr/A+oPlj/AIX98cv+iRt/36m/xo/4X98cv+iRt/36m/xr6n20baPqdT/n6/wFqfLH/C/vjn/0SN/+/U3+NH/C/vjl/wBEjb/v1N/jX1NRR9Tqf8/X+AHy1/wv/wCOf/RI2/79Tf40f8L/APjn/wBEjb/v1N/jX1Nto20fVKn/AD9f4BZ9z5Y/4X98cv8Aokbf9+pv8aP+F/fHL/okbf8Afqb/ABr6n20baf1Sp/z9l+Aanyz/AML++OX/AESNv+/U3+NJ/wAL++OX/RI2/wC/M3+NfU/40fjS+p1P+f0h69z5Y/4X98cv+iRt/wB+pv8AGj/hf3xy/wCiRt/36m/xr6moo+p1P+fr/AR8s/8AC/fjn/0SJ/8Av1N/jR/wv345/wDRIn/79Tf419T7aNtH1Sp/z9f4f5AfLH/C/vjl/wBEjb/v1N/jS/8AC/vjn/0SNv8Av1N/jX1Nt96Xb70vqdX/AJ+v8Bnyv/wv745f9Ejb/v1N/jR/wv745f8ARI2/79Tf419Ubfejb70fU6v/AD9f4AfLH/C/vjn/ANEjb/v1N/jSf8L++OX/AESNv+/U3+NfVG33o2+9H1Or/wA/X+AHyv8A8L++OX/RI2/79Tf40v8Awv745/8ARI2/79Tf419T7fejb70fU6v/AD9f4AfK/wDwv745f9Ejb/v1N/jR/wAL++OX/RI2/wC/U3+NfVG33o2+9H1Or/z9f4AfK/8Awv745f8ARI2/79Tf40v/AAv745/9Ejb/AL9Tf419T7fejb70fU6v/P1/gB8sf8L++Of/AESJv+/U3+NH/C/vjn/0SJv+/U3+NfU22jbT+qVP+fr/AAA+Wf8Ahf3xz/6JG3/fqb/Gk/4X98cv+iRt/wB+pv8AGvqfb70u33pfU6v/AD9f4AfLH/C/vjn/ANEib/v1N/jR/wAL++Of/RI3/wC/U3+NfU22jbT+p1P+fr/AD5Y/4X98cv8Aokbf9+pv8aP+F/fHL/okbf8Afqb/ABr6n20baPqdT/n6/wABanyx/wAL++OX/RI2/wC/U3+NL/wv745/9Ejb/v1N/jX1Pt96NvvS+p1f+fr/AAGfK/8Awv745f8ARI2/79Tf40f8L++OX/RI2/79Tf419T7aNtP6nU/5+v8AAWp8s/8AC/vjn/0SNv8Av1N/jSf8L++OX/RI2/79Tf419Ubfejb70vqdX/n6/wABnyv/AML++OX/AESNv+/U3+NH/C/fjl/0SN/+/U3+NfVG33o2+9P6nU/5+v8AAR8r/wDC/vjl/wBEjb/v1N/jR/wv745f9Ejb/v1N/jX1Pto20fU6n/P1/gGp8s/8L++Of/RI2/79Tf40f8L++Of/AESNv+/U3+NfU+33o2+9L6nV/wCfr/AZ8r/8L++OX/RI2/79Tf40f8L++OX/AESNv+/U3+NfU+2jbT+p1P8An6/wFqfLH/C/vjl/0SNv+/U3+NH/AAv745f9Ejb/AL9Tf419Ubfejb70vqdX/n6/wGfK/wDwv745f9Ejb/v1N/jS/wDC/vjn/wBEjb/v1N/jX1Pt96NvvR9Tq/8AP1/gB8r/APC/vjl/0SNv+/U3+NH/AAv745f9Ejb/AL9Tf419Ubfejb70fU6v/P1/gB8sf8L++Of/AESNv+/U3+NJ/wAL++OX/RI2/wC/U3+NfVG33o2+9H1Or/z9f4AfK/8Awv745f8ARI2/79Tf40h+P3xzYf8AJI2/79Tf419UYpKf1Sov+Xr/AAFY46xunvtPtLqW1mspLiFJjbXCbZIiyg7GHYjOCParNaesw52SAex/GsyvpqMrwR8TjKXsazj0CiiitzhCiiigByfdcD0H6H/69NqS3jLs5HQKc1HWcd2jonF8kZMKKKK0OcKKKKACiiigArV0Nflkb3xWVW5pMey1X1b5q5q792x7GVx5q9+yL3esrxR/yLeq/wDXtJ/6Ca1e9ZXij/kW9V/69pP/AEE15Nb+HL0Z9jS/iR9UeP8A7On/ACEtZ/65x/zavdR3rwr9nX/kJaz/ANco/wCbV7qO9eJkP+4x+Z7ee/7/AD+X5BXzv8Xf+SqWn/bD/wBCr6Ir53+Lv/JVLT/th/6FUZ5/u8P8SKyP/eZf4X+R9Cw/cX6VJUcP3F+lSV9DD4UfPvcKKKK0EFFFFABRRRQAUUUUAFFFFABRRRQAUUUUAFFFFABRRRQAUUUUAFFFFABRRRQAUUUUAFFFFABRRRQAUUUUAFFFFABRRRQAUUUUAFFFFABRRRQAUUUUAFFFFAHmnx+/5EGX/r4j/rXzPX0x8fv+RBl/6+I/618z19BgP4XzPks0/jfIKKKK9M8cKKKKACiiigAooooAKKKKACiiigAooooAKKKKACiiigAooooAK+tvhX/yT3Q/+vcfzNfJNeo3P7UXhb4NaL4d0HWtP1i6u5NNju1ksIYnj2M7qAS0qnOUPb0rxc0qRo0oym7K57uU/wASXofSNHPrXzL/AMN+fD//AKA3iT/wGt//AI/R/wAN+fD/AP6A3iT/AMBrf/4/Xy317D/zH059Nc+tHPrXzL/w358P/wDoDeJP/Aa3/wDj9H/Dfnw//wCgN4k/8Brf/wCP0/r1D+ZAfTXPrRz618y/8N+fD/8A6A3iT/wGt/8A4/R/w358P/8AoDeJP/Aa3/8Aj9H16h/MgPprn1o59a+Zf+G/Ph//ANAbxJ/4DW//AMfo/wCG/Ph//wBAbxJ/4DW//wAfo+vUP5kB9Nc+tHPrXzL/AMN+fD//AKA3iT/wGt//AI/R/wAN+fD/AP6A3iT/AMBrf/4/R9eofzID6a59aOfWvmX/AIb8+H//AEBvEn/gNb//AB+j/hvz4f8A/QG8Sf8AgNb/APx+j69Q/mQH01z60c+tfMv/AA358P8A/oDeJP8AwGt//j9H/Dfnw/8A+gN4k/8AAa3/APj9H16h/MgPprn1o59a+Zf+G/Ph/wD9AbxJ/wCA1v8A/H6P+G/Ph/8A9AbxJ/4DW/8A8fo+vUP5kB9Nc+tHPrXzL/w358P/APoDeJP/AAGt/wD4/R/w358P/wDoDeJP/Aa3/wDj9H16h/MgPprn1o59a+Zf+G/Ph/8A9AbxJ/4DW/8A8fo/4b8+H/8A0BvEn/gNb/8Ax+j69Q/mQH01z60c+tfMv/Dfnw//AOgN4k/8Brf/AOP0f8N+fD//AKA3iT/wGt//AI/R9eofzID6a59aOfWvmX/hvz4f/wDQG8Sf+A1v/wDH6P8Ahvz4f/8AQG8Sf+A1v/8AH6Pr1D+ZAfTXPrRz618y/wDDfnw//wCgN4k/8Brf/wCP0f8ADfnw/wD+gN4k/wDAa3/+P0fXqH8yA+mufWjn1r5l/wCG/Ph//wBAbxJ/4DW//wAfo/4b8+H/AP0BvEn/AIDW/wD8fo+vUP5kB9Nc+tHPrXzL/wAN+fD/AP6A3iT/AMBrf/4/R/w358P/APoDeJP/AAGt/wD4/R9eofzID6a59aOfWvmX/hvz4f8A/QG8Sf8AgNb/APx+j/hvz4f/APQG8Sf+A1v/APH6Pr1D+ZAfTXPrRz618y/8N+fD/wD6A3iT/wABrf8A+P0f8N+fD/8A6A3iT/wGt/8A4/R9eofzID6a59aOfWvmX/hvz4f/APQG8Sf+A1v/APH6P+G/Ph//ANAbxJ/4DW//AMfo+vUP5kB9Nc+tHPrXzL/w358P/wDoDeJP/Aa3/wDj9H/Dfnw//wCgN4k/8Brf/wCP0fXqH8yA+mufWjn1r5l/4b8+H/8A0BvEn/gNb/8Ax+j/AIb8+H//AEBvEn/gNb//AB+j69Q/mQH01z60c+tfMv8Aw358P/8AoDeJP/Aa3/8Aj9H/AA358P8A/oDeJP8AwGt//j9H16h/MgPprn1o59a+Zf8Ahvz4f/8AQG8Sf+A1v/8AH6P+G/Ph/wD9AbxJ/wCA1v8A/H6Pr1D+ZAfTXPrRz618y/8ADfnw/wD+gN4k/wDAa3/+P0f8N+fD/wD6A3iT/wABrf8A+P0fXqH8yA+mufWjn1r5l/4b8+H/AP0BvEn/AIDW/wD8fo/4b8+H/wD0BvEn/gNb/wDx+j69Q/mQH01z60c+tfMv/Dfnw/8A+gN4k/8AAa3/APj9H/Dfnw//AOgN4k/8Brf/AOP0fXqH8yA+mufWjn1r5l/4b8+H/wD0BvEn/gNb/wDx+j/hvz4f/wDQG8Sf+A1v/wDH6Pr1D+ZAfTXPrRz618y/8N+fD/8A6A3iT/wGt/8A4/R/w358P/8AoDeJP/Aa3/8Aj9H16h/MgPprn1o59a+Zf+G/Ph//ANAbxJ/4DW//AMfo/wCG/Ph//wBAbxJ/4DW//wAfo+vUP5kB9Nc+tHPrXzL/AMN+fD//AKA3iT/wGt//AI/R/wAN+fD/AP6A3iT/AMBrf/4/R9eofzID6a59aP1r5l/4b8+H/wD0BvEn/gNb/wDx+j/hvz4f/wDQG8Sf+A1v/wDH6Pr1D+ZAfSlxEJo2QjjFc3IpjkZTyVOK8P8A+G/vh/8A9AbxL/4DW/8A8frpvhx+0h4R+M2sXGnaPFqFjqEMXm+TqUccZmXODs2O2SO/Tr9cdeHx1GU1BS3PIzHD+1hzx3R6VRRRXuHyQUUVZ0+1N1Pkj92vX39qiUlFXZvSpyrTUI9TR0628uzOR8z8msZ12SOp6g4rp+AvHFYGpR+XeSY6NzXLRlebue5mFBU6EOX7OhWooortPnAooooAKKKKACuktU8uBF6YAFc9boXnQYz8wrpV+XArixD2R9LlMNJTHd6yvFH/ACLeq/8AXtJ/6Ca1e9ZXij/kW9V/69pP/QTXm1v4cvRn0lL+JH1R4/8As6f8hLWf+ucf82r3Ud68K/Z1/wCQlrP/AFyj/m1e6jvXiZD/ALjH5nt57/v8/l+QV87/ABd/5Kpaf9sP/Qq+iK+d/i7/AMlUtP8Ath/6FUZ5/u8P8SKyP/eZf4X+R9Cw/cX6VJUcP3F+lSV9DD4UfPvcKKKK0EFFFFABRRRQAUUUUAFFFFABRRRQAUUUUAFFFFABRRRQAUUUUAFFFFABRRRQAUUUUAFFFFABRRRQAUUUUAFFFFABRRRQAUUUUAFFFFABRRRQAUUUUAFFFFAHmnx+/wCRBl/6+I/618z19MfH7/kQZf8Ar4j/AK18z19BgP4XzPks0/jfIKKKK9M8cKKKKACiiigC9oeltrWsWOnpIInup0hDkZCljjOPxr0G4+Den2t4bKXxlpkd4rBDbvtD7j0GC+c1x/gH/kd9A/6/of8A0MV6D43+EPiDxD421K9tooUtJ5QyyySgYXABJHXsa4K1RxqKPNyqx6dCkpUnLl5nex5v4o8K33g/VWsb9QH2h0kQ5R1PAIPpXX2/whgXRdN1DUfE2n6UL6FZoo7jC5BAOASwyRkZx61H8YPE1jrFxo+m2U63Y0u3MUt2hysjEKDg9wNnX3rsfFXgLVfG3gnwX/ZvkH7NYrv859v3o48Y45+6aylWnywcny3NY0KfPNJc1tjznxh8O7nwxp0Op297b6vpUh2C7tSCA3ocZ4461jeGvC+o+LdSWx02ISS43MzHaqL6k+lel+JtFvPh/wDCObRryNrme/uRI8kALRQAFDgtjqSo/P2ql4SaTw18Hdd1a2zFfX04t1mU8rGMD8Dy/wCY9KuNaXs7rV3smTLDw9orqytdort8H9PjuPszeM9KW7zt8gld27+7jf1rhfEGg3XhnWLjTbwxmeEjLRtuVgQCCPwNZu2nySPM5eRi7njLHJrphGcX70ro4qk6Ul7sbfMbRRRXQcwUUUUAFFFFABX1f8MbG3uPh/oTSwRyN9mAy6Anqa+UK+tvhT/yT3Q/+vcfzNePmSUqaTXU9zKf4svQ6D+ybP8A59IP+/Yo/sm0/wCfSD/v2Ku0V897KH8qPqSn/ZNn/wA+sP8A37FH9k2f/PrD/wB+xVyij2cP5QKf9k2f/PrD/wB+xR/ZNn/z6w/9+xVyij2cP5QKf9k2f/PrD/37FH9k2f8Az6w/9+xVyij2cP5QKf8AZNn/AM+sP/fsUf2TZ/8APrD/AN+xVyij2cP5QKf9k2f/AD6w/wDfsUf2TZ/8+sP/AH7FXKKPZw/lAp/2TZ/8+sP/AH7FH9k2f/PrD/37FXKKPZw/lAp/2TZ/8+sP/fsUf2TZ/wDPrD/37FXKKPZw/lAp/wBk2f8Az6w/9+xR/ZNn/wA+sP8A37FXKKPZw/lAp/2TZ/8APrD/AN+xR/ZNn/z6w/8AfsVcoo9nD+UCn/ZNn/z6w/8AfsUf2TZ/8+sP/fsVcoo9nD+UCn/ZNn/z6w/9+xR/ZNn/AM+sP/fsVcoo9nD+UCn/AGTZ/wDPrD/37FH9k2f/AD6w/wDfsVcoo9nD+UCn/ZNn/wA+sP8A37FH9k2f/PrD/wB+xVyij2cP5QKf9k2f/PrD/wB+xR/ZNn/z6w/9+xVyij2cP5QKf9k2f/PrD/37FH9k2f8Az6w/9+xVyij2cP5QKf8AZNn/AM+sP/fsUf2TZ/8APrD/AN+xVyij2cP5QKf9k2f/AD6w/wDfsUf2TZ/8+sP/AH7FXKKPZw/lAp/2TZ/8+sP/AH7FH9k2f/PrD/37FXKKPZw/lAp/2TZ/8+sP/fsUf2TZ/wDPrD/37FXKKPZw/lAp/wBk2f8Az6w/9+xR/ZNn/wA+sP8A37FXKKPZw/lAp/2TZ/8APrD/AN+xR/ZNn/z6w/8AfsVcoo9nD+UCn/ZNn/z6w/8AfsUf2TZ/8+sP/fsVcoo9nD+UCn/ZNn/z6w/9+xR/ZNn/AM+sP/fsVcoo9nD+UCn/AGTZ/wDPrD/37FH9k2f/AD6w/wDfsVcoo9nD+UCn/ZNn/wA+sP8A37FH9k2f/PrD/wB+xVyij2cP5QKf9k2f/PrD/wB+xR/ZNn/z6w/9+xVyij2cP5QKf9k2f/PrD/37FH9k2f8Az6w/9+xVyij2cP5QKf8AZNn/AM+sP/fsUf2TZ/8APrD/AN+xVyij2cP5QKf9k2f/AD6w/wDfsUf2TZ/8+sH/AH7FXKKPZw/lAp/2TZ/8+sH/AH7FLHp1tE25IIkb1VADVuimoRWqQGDe6a0LF4xuX09KpV1BUYqP7PGTkopP0ruhWaVmjw6+WRqS5oOxg2tnJdMAvyr3at63t0t4wiDgVIqhegpf51nOo5nbhcHDDrTV9xR0rG1pdsiNjqMVs/w1n6tEZLUkdV5pU3aSKxlP2lCSMWiiivUPhwooooAKKKKALmlR7rjd/dFbq1maNHtjdyOWPFafrXm1neZ9nl9PkoR8xe9ZXij/AJFvVf8Ar2k/9BNanesvxR/yLeq/9e0n/oJrirfw5ejPWpfxI+qPH/2dP+QlrP8A1zj/AJtXuo714V+zp/yEtZ/65x/zavdR3rxMh/3GPzPbz3/f5/L8gr53+Lv/ACVS0/7Yf+hV9EV87/F3/kqlp/2w/wDQqjPP93h/iRWR/wC8y/wv8j6Fh+4v0qSo4fuL9Kkr6GHwo+fe4UUUVoIKKKKACiiigAooooAKKKKACiiigAooooAKKKKACiiigAooooAKKKKACiiigAooooAKKKKACiiigAooooAKKKKACiiigAooooAKKKKACiiigAooooAKKKKAPNPj9/yIMv8A18R/1r5nr6Y+P3/Igy/9fEf9a+Z6+gwH8L5nyWafxvkFFFFemeOFFFFABRRRQBv+Af8AkeNA/wCv6H/0MV0fjnxXqnh74oapcWV7NF5NypEW87GG1cgrnBBrhLG+n069gu7aTyriB1kjcAHawOQcH3p+p6pdazqE97ey+fczNukkwBk4x2+lcsqXNU5ntax1xrclPkjve53Xxi0OBb6w8Q6egXTdWhEp29Flxk+wyCD9Q1a/xM0q+1TwT4E+x2dxd7LL5vIiZ9uY4sZwOOn6V5xdeJdSvtFt9Jnu2l063bdFCyqdh56HGe54z3rW0/4o+KNMsoLS11d47eFBHGnlRttUcAZKk8CsfY1Eo2s3E39vScpNprmR3Pw8tL/R/AXiY+IYp4NEMBWKC6BU7yDnardMkjHvVH4cqni74da74VWRRqKyfarVZCMN93gfipz/AL9cHr3jHWvFGwapqM12icrG2FQH12gAZ561mWd5cafcJcWk8ltcIcrLC5Vl+hFH1eTi23q3cPrUYyikm4pW131NVvBPiCO6+ztot9527Z/qGIz9cY/HNU9c0O88O6g1jfxeRcqqsU3A4yMjp3roj8XvFzKVOsyYIwf3UYP/AKDXJ3V1NfXEk9xNJPPIdzySMWZj6knrXTD2t/fsctT2KX7u9/Miooorc5wooooAKKKKACvrb4U/8k90P/r3H8zXyTX1t8Kf+Se6H/17j+Zrycw+Bep7mU/xZeh1tFFFeEfUhRRRQAUUUUAFFFFABRRRQAUUUUAFFFFABRRRQAUUUUAFFFFABRRRQAUUUUAFFFFABRRRQAUUUUAFFFFABRRRQAUUUUAFFFFABRRRQAUUUUAFFFFABRRRQAUUUUAFFFFABRRRQAUUUUAFFFFABRRRQAUUUUAFFFFABRRRQAUUUUAI1MmTfGynoRipKRulAmrqxyzKVYqf4Tikq3qkPlXJYcBqqV6kJc0Uz4PEU3SqOHYKKKK0OcKP50VNYw+dcouMjqfwqJOyua0oOpNRXU27OHybdF745qxRgUo9K8u99T72MVGKiugd6yvFH/It6r/17Sf+gmtXvWV4o/5FvVf+vaT/ANBNc9b+HL0ZvS/iR9UeP/s6/wDIS1n/AK5R/wA2r3Ud68K/Z0/5CWs/9c4/5tXuo714mQ/7jH5nt57/AL/P5fkFfO/xd/5Kpaf9sP8A0Kvoivnf4u/8lUtP+2H/AKFUZ5/u8P8AEisj/wB5l/hf5H0LD9xfpUlRw/cX6VJX0MPhR8+9wooorQQUUUUAFFFFABRRRQAUUUUAFFFFABRRRQAUUUUAFFFFABRRRQAUUUUAFFFFABRRRQAUUUUAFFFFABRRRQAUUUUAFFFFABRRRQAUUUUAFFFFABRRRQAUUUUAeafH7/kQZf8Ar4j/AK18z19MfH7/AJEGX/r4j/rXzPX0GA/hfM+SzT+N8gooor0zxwooooAKKKKACiiigAooooAKKKKACiiigAooooAKKKKACiiigAr62+FP/JPdD/69x/M18k19bfCn/knuh/8AXuP5mvJzD4F6nuZT/Fl6HW0UUV4R9SFFFFABRRRQAUUUUAFFFFABRRRQAUUUUAFFFFABRRRQAUUUUAFFFFABRRRQAUUUUAFFFFABRRRQAUUUUAFFFFABRRRQAUUUUAFFFFABRRRQAUUUUAFFFFABRRRQAUUUUAFFFFABRRRQAUUUUAFFFFABRRRQAUUUUAFFFFABRRRQAUjdKWkbpQBn6rb+Zb7hyU5rFrp2XOAeneuevbf7LMw/hPIrsoS+yfOZpQ1VVfMhooorsPnRMgcVr6Pb7FaQ/wAXArLhga4mVF79TXSRxiKMKo+UDiuWvLTlR7uWUHKbqvZbEi9KWiiuE+oE71leKP8AkW9V/wCvaT/0E1q96yvFH/It6r/17Sf+gmsK38OXozSl/Ej6o8f/AGdP+QlrP/XOP+bV7qO9eFfs6/8AIS1n/rlH/Nq91HevEyH/AHGPzPbz3/f5/L8gr53+Lv8AyVS0/wC2H/oVfRFfO/xd/wCSqWn/AGw/9CqM8/3eH+JFZH/vMv8AC/yPoWH7i/SpKjh+4v0qSvoYfCj597hRRRWggooooAKKKKACiiigAooooAKKKKACiiigAooooAKKKKACiiigAooooAKKKKACiiigAooooAKKKKACiiigAooooAKKKKACiiigAooooAKKKKACiiigAooooA80+P3/ACIMv/XxH/Wvmevpj4/f8iDL/wBfEf8AWvmevoMB/C+Z8lmn8b5BRRRXpnjhRRRQAUUUUAFFFFABRRRQAUUUUAFFFFABRRRQAUUUUAFFFFABX1t8Kf8Aknuh/wDXuP5mvkmvrb4U/wDJPdD/AOvcfzNeTmHwL1Pcyn+LL0Otooorwj6kKKKKACiiigAooooAKKKKACiiigAooooAKKKKACiiigAooooAKKKKACiikagBaTIrjNM+IEWoePPEfht7b7ONHt4J3vHlG1xIpbpgYx65rej8TaTNqCWEep2cl86eYtus6mRl/vBc5xWXtIvZlcrNWjIrlPG3jqx8K6Pqci3lm+q21nLdRWMsyh5Ni5+7nOOR+dN8NeOrW98B6L4i1i5tNKW+sYbuQyyhI0LoGIBY9Bml7SPNy3DldrnWcUcVRXWbFreG4W9gNvMwSOUSja5PQA55NRab4i0zWJp4rDULW8kgYpKlvMrlGHYgHjrVcy2uKzNTFGBWRa+KNHvtTm0231Wzn1CHHmWsdwrSpnOMqDkdD+VJe+LNF00D7Xq1lbZm8gebcIv7zONnJ654xT5o73CzNcEUuRWXqmv6bocMc1/qFtZQyMER7iZUDMTgAEnkkkVzHgH4if8ACWR+JprwW1nbaVqslhHMsnyOiojByTxk76h1Ixai3qxqLaud1xS4FZOmeJtJ1qGabT9TtL6KEkSvbzK4QjOckHjGD+VIvifSGvobIapZm8mTzI7fz13upxyBnJHI/Oq5o9xWZr/hQM1xmkfFHQ9a8cap4Ut5HOo6fGjvIxTypNyg7UIbJIB5GBjBrqLrULexVWuJ44FY4VpHCgnBOBn2FEZxkm0x8rXQt4FGKxpPFuiw6Umpvq1imnOCy3bXCCJgOCQ2cHFWW1zT10/+0GvrZbDbu+0mVfLx67s4o5o9xWZfHNHFec6P8VF1r4pX3hu3+xzaRb6SupJqEMu7fl1BGQdu3DZzXcf2xYrbwzm9txBM2yKXzF2u3PAOeTwenpSjUjJXTG4tbl/IoyKyNT8T6To4Y3+qWdmqusbefOqYZsbQcnqcjA75FSal4g03R7EXt/qFtZWhxi4nlVEOenJOKfMu4rPsae6jIrzfwL8VH8VeMPGumXCWtvYaDNDHDdJJxKrhzuYk4/hHT1rsdL8UaRrizvp2q2d8kDFZWt51fYR1DYPGKUakZapjcWtzXzR+FZP/AAlWj/bILT+1LM3Vwu6GD7Qm+QccqM89R+dYcXxS0STx9ceEfOZNSgt1uGkdkETbmChAd2S+T0xQ6kI7sOVvodlijFcJ8VviRJ8NdF028i0ptXnv9Qj06K3WcREu6uVO4gjqmPx61Z8I+Lde1Nb2TxL4Y/4RSCAKY5Z9RhuBJnOfuH5ccdfWp9rHm5Oocrtc7IYpM+lVJNQt45oYmnjEswJiQuMvgZO0d+K4/wCHPxEbxhYarcagttYG11e402FQ+PM8tsA8n7x9BT9pHmUb7hyu1zu+KXiqE2q2VvLJHLdwRyxp5jo0gBVem4jPA96jt/EGmXV9LYw6jazXsShpLeOZTIg9SoOQOKvmV7XFZmlto21RGtae0AnF7bmHf5YkEq7S393OevtVqW4SGJpZXWONRlmY4AH1p8yCxLtFG0Vlad4k0rVoJZ7HU7S8hhZllkgnV1QgkEEg8YwevpSaV4o0jxA0y6bqdnftCxSRbadZCjDqDg8EUuaPcLM1eKOKyZvFGkQXFvDJqlmk1wxSGNrhQ0jDOQozyeD+VSah4g0zSY55L3ULW0jgUNK00qoEB6E5PHQ0uePcLM0uKXiqLaxYx2P21ry3Wyxn7QZV8vHruzio9N1/Ttasxeaff217aEbvPt5VdMYz1B9KfMu4WZpUVy2s/EjQNI0LU9UGo217b6cjNOlpPG7gj+HG4DPsSKw9U+JV3qHhPQNb8KWVvqY1G5t1mhvLqOFoIZFLEnL43j5RsBJ5PBxWbrQWlx8sux6JxS7RWRq3ijSNBaBNT1Sz0+SdgkS3M6xl2PQDJGTVmbV7K3SNpbuCNZASjNIoDADJI554q+aPcVmXtopOKzbHxBpmpWLXlnqNrdWaEhriKZWRcdcsDgYp2j69p2vQNNpl9bahCrFGktpVkAYHBBIPWmpJ7MLM0PSqt9aC6j2/xDkGreaRq0Ts7oznCNSLjLZnMTRvC+xl2mkVWkbao3H2rpJIEmX51BHvSR20cf3FUfQV1e302PAeU+/pLQr6bY/Zkywy7dfarlKtL1rlbcndnvU6caUVCOyFooopGgnesrxR/wAi3qv/AF7Sf+gmtXvWV4o/5FvVf+vaT/0E1hW/hy9GaUv4kfVHj/7On/IS1n/rnH/Nq90WvC/2df8AkJaz/wBco/5tXui14mQ/7jH5nt57/v8AP5fkLXzv8Xf+SqWn/bD/ANCr6Ir53+Lv/JVLT/t3/wDQqjPP93h/iRWR/wC8y/wv8j6Fh+4v0qSo4fuL9Kkr6GHwo+fe4UUUVoIKKKKACiiigAooooAKKKKACiiigAooooAKKKKACiiigAooooAKKKKACiiigAooooAKKKKACiiigAooooAKKKKACiiigAooooAKKKKACiiigAooooAKKKKAPNPj9/yIMv8A18R/1r5nr6Y+P3/Igyf9fMf9a+Z6+gwH8L5nyWafxvkFFFFemeOFFFFABRRRQAUUUUAFFFFABRRRQAUUUUAFFFFABRRRQAUUUUAFfW3wp/5J7of/AF7j+Zr5Jr62+FP/ACT3Q/8Ar3H8zXk5h8C9T3Mp/iy9DraKKK8I+pCiiigAooooAKKKKACiiigAooooAKKKKACiiigAooooAKKKKACiikagBN1NNZviTUp9J0W7vLa2a8nhjLpCvVyO1eHf8L48T9rOx/78v/8AF15eLzCjgmo1L3fZXPSwmX18Ym6VtO7sGvr/AMV18byRwfDsP/pM9cfJ4W0rw54Z+B2qabYx2epX2qWP2q8jXE0wfaWDN1IOTx0xwOK6pvjZr7SSOdN04vINrt9mfLD0Pzcikb4za4ywodK00pCQYlNs5EZHQr83FeA80wkm3d/c+9z11k2MXRfejhtcvfCdm/xUsvFln5/jK4vrhtPf7O8kph2Zi8twMKByTyOPUDAtaxdSafffB+4vJdPtdM/4RyJIbjW4JJrFJzGMllVlw20gZJwMjPqOsl+MWszXH2iTR9Lkn2GPzGtWLbT/AA53Zx7UTfGPWri1FrNpGmS2oAAhe1YoAOg27scVl/aWFerb+5976l/2Pi9NF/4EjgvG2n2OkfBO6+xazZ6zZP4uWVv7KikjggYxEtHFuJJUcYKkjnqTmtnTbjStZ+Kepz/C6HyrKPwncxv/AGfC1v8A6X+8CZDBctkxYPr3pnxA8Val4/0Cz0m4trWwtbW6S7RbWBlG5AwAwWwB8x6V09n8adZtPN+y6bpkJkbfJ5UDLuY9zhuT71P9q4Xmtdrbox/2PjHG/KvvRxfwtsbbWtL8Cwt4h8O6ZqdjqYkWCGzk/tV5Nz745W3HhgeTtA4Xnir+n+D9G1rRvjxqV/psF3f2eo6ibaaZNzQkCRgUz0OeciujX4vavHeG8TRdJW7PW4FowkPGPvbs1Kvxp11fOA0rTcTEmUfZn+fPXd83P41pHMsJazb+59rEvJ8Ze6S/8CRzM2paTZ6x8MNQ8dlbnws3hVVia8iM8f2w43llAJzsKckfyqXwv4g0nw38H/H99Z6DBqekP4iZbay1CJhAkbpDsd0I3bBkHGM4x0reuPjFrN1bpBPo2lTQx4KRyWjMq46YBbint8ZtdZJkOl6aY5iTKv2d8OSMHcN3PbrT/tPDJ3Tf/gL7WD+x8Xaziv8AwJHLeCJi3xV8ZGOfRriCTwncEv4diaOydgY8bcs25hkgkE9/es+08J6Vpfwh+FviC1so4tbm162EmoAfvmXzXGC3cAIuB0GK7W3+MOsWqqsOj6XEqoYwsdqygITkrw3TPan/APC5dc8mKH+ydM8qIho4/sr7UI6EDdwR7VP9pYS1m39z73D+x8ZfZf8AgSI/C9p4b8PftVeJLS5sbaznuIIG0pRbcecYQ0rIQMKSN+TxnnvXW/tEaPba8ngawvEMlpP4ihjlUHG5TFJkE+h6Vy0nxo1ya6juZNK0yS5jGEma1cuv0O7IqSX43+IZ2jMmm6fIY23Lvt3O1vUfNwa2/tbCKLjd2bvszP8AsXGcylZaf3kUPi1p9n4N+KPg63hh0jR/D8djNHZ/2pau+nQzs5LEqjKAxBPJOBuyR0I4zXdNstH8F6XKNYtdd8JL4y87VhpsEi2kCERlolViSyAbiCu4c9Sa7+8+NGvahCYbrS9NuYjyY5rZ3U/gWpv/AAubWxZ/ZP7J0z7Ljb5H2V9mPTbuxis5ZnhJNtN6+TNFk+MSSsv/AAJGJ4NXQNc+KXjY+CrTZpV54WmW2WGBoY5pCyqTGrAcbgRxgZBrlLfxpperfCT4b+GbKWafWNL16C4voVgfFunmyqCzEY5MqAYPfFejQ/GbXLVlaHSdMiZU8pSlq6kJ12jDcDPakX4w6yjSsujaWDK/mSEWrDew5DH5uT70v7Tw1rJvr0fV3D+x8X1iv/AkWJPA+ieKviZ8W5tX02HUHt4LcQGdd3l5tFyy5+63A+Yc8CuUutQ0mx0P4KX/AIuzN4ajsLj7Q00TSwiXy08veoBz3xxng11C/G3xAjyuNN04PL/rGFu4L8YGTu5qGb4wazcWaWsuj6XLbLjbA1qxQY6YXdiiWZ4R7N/c/UX9j4zql/4EjjPCPiTQ/D+m/GLVNH0CPV/D73Fj9n0+eFlhMbNKAzIRkID82MdB2rV8F3MVx8UvEDW9x4fuEbwnc728NQvHbEhkwDlmBYA9jx0rfT42ayRMqabpZEoxIFgb5hjGD83IxSW/xh1izUCDR9LgCqUAjtWXCk5K8N0z2qFmmFlZpvTyZbybGRveK1/vI82/4RrTtN/Zz8FeJLWyji1+TWwG1BQfO2rNMqgN1AAjTgccZ6mvS9Rt/C3h39qSZtbsbSAahYW72Bktd4kvGmADrhTh8g/McdOtJ/wuPWvs6Qf2Rpfkxncsf2VtqnrkDdwadN8Z9cuZ4pZtK02WWE5jkktXZkPqCW4rWOaYNWs3pbo+hP8AY+Md9F1+0ups/taPCvgvwy1xcy2duviK1MtzBkSRL5c2XXg8gcjg9Kw9S1Tw9r3wX8fWPhjxbrHjGaO0E8x1aR5JIVBz8paNOMKx4z0qa6+NniC8j8q40zTbiPOdstu7D8i1R2/xk1qzV1t9I0yAPw3lWrLu+uGrSeb4WU3K71VtmRHJcZZKy0f8yKtp4/0Xx98WPhQdEuJbyPT4bqK6k8h0SORrY4QlgOfkbp6Vnjw/da18HfGt5px2aro/im71W1kwCUaKQMSM8fd3dc/Q1sW3xh1izVFt9H0uAIxdBHaMoVj1Iw3BPrUOq/FzxDqWi3+nQ2tnYC8jeNpreB1dS4ILD5vvc9fWsf7Uwtm2236PtYr+xsX0S/8AAkZVvff8LC+HnxR+IckBtxqVkthZxvtZo4okG7DDsznOP9kV0Efg/R/CPxM+Ek2k2EVi91bXIupo+Gn/ANFZsyH+I55ycmsPwV4+1TwP4Ts/D1pYWdxY26sD9ogZmkLEsxb5sckntW4/xs1+V4mfTNPZoshGNu+VyMHHzccURzTC2Tle/o973G8nxl7JK3qjgdBktLH4mwa5LHcRfDS48SyLaxzECBb0JgT4K48vcSAwPBQZPy17n+0t5/8Awp3WDCJigkgM4t87vK85d/Tttzn2rhm+MWstbrbnSNLNupyIjatsBz1A3Yqy3x18SspU2NiVxggwSY/9DrWGbYWEJRu9fJkyybGOSfKtPNGD4+17whr3w11sfDu3h+z272R11rGykhLWYkbKj5RkggEkdE3ZOK0tDufDWtfGzwZP8Po7cWNrYXJ1ZrCExIImjAiWQ4GW3Y+Xrn6VLa/GXW9PhMNrpOmW0ROTHDauqn8A1NsfjHrWmq62ekaXahzuYQ2rJk+pw3NZ/wBqYZtNt9Oj6dh/2Li7NWX/AIEjiNY8GaN/woLxNrzadGdcTWZyl6w/fR4uSAFPVRjsMDJJrvZPDOl+Lv2otasdZsodSs08PxziC4Xcm8NEoYjoSA7Yz0zUR+M2uG2a3Olaabdjlo/sz7SSckkbvWlPxx11LgzGw0xLhl2mTyHDFfTO7OKn+1cFG127adO3/DlLJsdLZLr1R5Sk2or8H/BkhkX+wrPxNKLs3UbS20Sh0KeagOWTmTIHqR1IrsNS0mf/AIRX4pan4f8AEmnapcXVpbG5sfDNvJHBCdy7nU5YEmNZN2GPVs46V0qfGbXI7d4F0rTVt3zuiFu4U565G7FFn8Zdb02IxWek6ZaxE52QWroM+uA1CzLCLq9uzB5RjP5V96MvT734b+KPhdqOn+H9MtbjxBa+GmkumSxZGTYIy29ioDN5mGBGfuscjvh6rfeGr74I/D9fD8duk8GvabHqfkW5jJuRbvvLkgbm/wBrn612Nn8ZtcsQ4ttK0238xtz+Vauu4+pw3JqKP4vatBD5Mei6Ske/zNi2jAbv72N3X3q3mmFlq29rfCT/AGNi+y3/AJkVbzUPCuk/Fb4iH4jRW3nzRxnTWvrdnje12YAiyMZ+6Dt6sG7g1j+H/DL6povwO0vxJavcRzXF8zW90Tlotu+IN7bQvyntwfSukvPjDrGoNG11o+l3LRnKNNasxX3GW4/Cpn+N3iGSSN307TneM5Rmt3JU9Mg7uOKX9qYRvVu3o+99R/2PjOiX/gSOdXw9okd98bPD81+nhjQvO06OKSGMiG3dt2PkXopbaG6DHXivR/gH4nl1a88RaS1po8y6W8EQ1vQotltejyxjuQWXHODjngCuXb40a6/n7tJ0xvPGJc2z/OPRvm5/Gls/jTr2nQiG00vTbaIHPlw2zov5Bqunm2FpzUk39zIlkuMkmml/4Ej6M49aMivnr/he/if/AJ87L/vzJ/8AF0f8L38T/wDPnZf9+ZP/AIuu7+3cJ5/czH+wcZ2X3o+heKOK+ev+F7+J/wDnzsv+/Mn/AMXR/wAL38T/APPnZf8AfmT/AOLo/t7Cef3MP7BxnZfej6G/Gj8a+ef+F8eJ/wDnzsv+/L//ABdH/C+PE/8Az52X/fl//i6P7ewnn9zD+wcZ2X3o+hePWjj1r53b49eJU+9bWK/WF/8A4unL8ePEzci0sT/2xf8A+Lqf9YMHe139zK/sDG9l96PoWsvxR/yLeqf9e0n/AKAa8P8A+F7+J8Y+yWX/AH5k/wDi6r33xs8RX1jPbS2dmsUsbRsVicEAjBx81TVz3Cyg0r6rsx08ixkZJtLfujZ/Z1/5CWsf9c4/5tXulfJ3gvxtqPgua6fTooZXmVVcSozYAzjoR611f/C9vE//AD52f/fmT/4uvLynNsNh8JGnO91fp5nqZtlGJxGLlUhazt1XY+heeDjpXz18Xv8AkqVp9Lf/ANCpf+F7+J/+fSz/AO/Mn/xdcd4g8U6h4k15NVu4Y1uV2ALGjBPlORwSf50s0zXD4qlGNO91JPZ9B5XlOIw1Zzq2tytbrqfWcXMad+Kf3r55X47+JkUAWdlj/rjJ/wDF1v8AgT4t6/4i8SWthc2FubeUne8MbqyADOcliMZ4/Gvco5zhqso043u9NmeFVybFUYyqSSsvNHtNFJS19CeEFFFFABRRRQAUUUUAFFFFABRRRQAUUUUAFFFFABRRRQAUUUUAFFFFABRRRQAUUUUAFFFFABRRRQAUUUUAFFFFABRRRQAUUUUAFFFFABRRRQAUUUUAFFFI3SgDzX4+/wDJP5P+vmP+Zr5nr7E8Y+F7fxd4futLuXaNJgCJF6qwIIP5gV8zeL/hrrfg6ZvtFs1zZ5O27t1LIRnjd/dPTg/hmvawNWEY8jep8zmdGbn7RLSxylFFFeweAFFFFMAooooAKKKKACiiigAooooAKKKKACiiigAooooAKKKVVLMAoJJ6DHJpAJX1r8K/+Se6H/17j+ZrwXwT8IdZ8WTRzTwvp+mdWmmXDOv+wvU/Xp9elfTOk6bBoumWtjbjbBbxrEg68AYFeJjqsZpQi9T6TK6M4OU5KyZfoooryD6EKKKKACiiigAooooAKKKKACiiigAooooAKKKKACiiigAooooAKRulLRQA1l3VH9mj/uLU1JtFTyp7juRfZo/7i0fZo/7i1LtFG0VPJHsF2RfZY/7i0fZY/wC4tS7RRtFHJHsF2cz4/gRfBOuYRf8Ajzm7f7Brzf8AZ1jWRNb3LnmHH/j9em/ED/kSdc/68pv/AEA15r+zh93XfrD/AOz181iYR/tSjp0Z9DhpP+zK/rE9m+zR/wBxaPs0f9xal2ijaK+l5I9j567Ivssf9xaPssf9xal2ijaKOSPYLsi+zR/3Fo+yx/3FqXaKNoo5I9guyL7NH/cWj7NH/cWpdoo2ijkj2C7Ivs0f9xaPs0f9xal2ijaKOSPYLsi+yx/3Fo+zR/3FqXaKNoo5I9guyL7LH/cX8qiureP7PL8i/dPb2qzj1qO5/wCPeT/dNZ1IR5HoVGTujwL9n2MN4m1DcAf9G78/xivffs8f9xfyrwT9nv8A5GXUP+vf/wBmWvf/AFrwsihF4JadX+Z72eN/XZei/Ij+zR/3Fo+yx/3Fqak2ivoeSPY+fuyL7LH/AHFo+yx/3FqXaKNoo5I9guyL7NH/AHFo+yx/3FqXaKNoo5I9guyL7NH/AHFo+zR/3FqXaKNoo5I9guyL7LH/AHFo+yx/3F/Kpdoo2ijkj2C7Ivssf9xaPssf9xal2ijaKOSPYLsi+zxn+Ba8B/aDjC+J7AKAP9Fz0/22r6CwOa+f/wBoP/kabD/r1/8AZ2r53Poxjgm0uq/M+hyJv69H0f5Hulhbx/Y4fkX7i9vap/s0f9xfyptgP9Dg/wBxf5VYxXvU4R5FoeDOT5nqRfZo/wC4tH2aP+4tS7RRtFackexF2RfZo/7i0fZY/wC4tS7RRtFHJHsF2RfZY/7i0fZo/wC4tS7RRtFHJHsF2RfZY/7i/lR9lj/uL+VS7RRtFHJHsF2RfZY/7i/lR9lj/uL+VS7RRtFHJHsF2RfZY/7i/lR9lj/uL+VS7RRtFHJHsF2eJftERrGui7VwczfySvRvh7AjeCdEyi/8ecXb/ZFeeftG/d0T6y/+yV6P8O/+RI0P/rzi/wDQRXzWFjH+1Ky8kfR4mT/suh6s3TbR/wBxfyrM8UQIPDupnYufs0nb/YNa9Znij/kW9U/69pP/AEA179aEPZy06M8GlJ88fU8d/Z3jV9S1kEA/u4+v1avcvs8f9xa8P/Z1/wCQlrP/AFyj/m1e6eteLkUI/UYXXf8AM9rPG/r8/l+SI/ssf9xaPs8f9xfyqXaKNor6Dkh2PAuyL7LH/cWjyFXkKtTUUckVsguwooorQQUUUUAFFFFABRRRQAUUUUAFFFFABRRRQAUUUUAFFFFABRRRQAUUUUAFFFFABRRRQAUUUUAFFFFABRRRQAUUUUAFFFFABRRRQAUUUUAFFFFABRRRQAUUUUAN296RkDDBGQetPooA5LXPhl4b8QfNdaVD5hOTJCDG3THVcZ/GuB1b9m+zkJfTdWng4/1d1GJAT/vDGB+Br2qlraFerD4ZHJUwtGp8UT5rvv2e/Elu3+jzWd0MdpCv4ciuevPhL4tsVdn0WaRV7xMr5+gBz+lfWdLXVHHVVvZnFLK6L2uj4uvvDuraZD5t5pV9aRZx5k1u6L+ZFZ1fcG0egqG4sbe8jMc8Ec6HqsiBgfwNbrMX1ic8spXSR8S0V9kN4N0BuTomnk/9esf+FVZvhz4auDl9Esc/7MIX+Vaf2iusTF5RLpM+QaK+tW+FPhJjk6Ha5+h/xpP+FT+E/wDoCW35H/Gn/aEP5WT/AGTU/mR8l0V9Z/8ACp/Cf/QEtv1/xp6/CvwmvI0S1/EE/wBaP7Qh/Kw/smp/Mj5Jor7Ag+Hvhu35TQ7H/gUCt/MVYXwboKNuXRbBT6i1TP8AKl/aMekSv7Jn1kfGxNa9r4S1y+jSS30bUJon+7JHbOVP44xX2NFaxW6BI41jQdFUAAVLt9hWbzGXSJrHKV9qR8pWfwd8XXrKBpLQq38U0iKB9RnI/Kugsf2edfn5ubuztefu7mc47ngV9HUlYSx1V7WR0xyujHe7PHdI/Zy0u2cPqWpXF6VbIjhUQoR6H7xP4EV6DofgHQPDm3+z9Lt4XUYEm3c/XP3jk10WKPxrllWqVPiZ308NSpfDETA9KP0p1FYnSFFFFABRRRQAUUUUAFFFFABRRRQAUUUUAFFFFABRRRQAUUUUAFFFRTTJbxtJI6oijJZjgAetJuwElFYv/CaaD/0F7H/wIT/Gk/4TTQf+gvY/+BCf41h9YpfzL7zb2NT+V/cbdFYn/CaaD/0F7H/wIT/Gj/hM9B/6DFl/4EJ/jS+sUf5194exqfyv7jborE/4TPQf+gxY/wDgQn+NH/CZaD/0GLL/AMCE/wAaf1ij/OvvD2NT+V/cbdFYn/CaaD/0F7H/AMCE/wAaP+E00H/oL2P/AIEJ/jS+sUf5194exqfyv7iD4gn/AIonXP8Arzl/9ANebfs4/d1z6w/yeuz8ceKtGuvB+sxRapZyyPZyqqLOpLEocADNeffAPW7HSE1j7beQWvmGLZ5sipuxvzjJ5r5zE16f9p0XzK1me/hqc/7NrLld7o95orE/4TTQf+gvY/8AgQn+NH/CaaD/ANBex/8AAhP8a+j+sUf5l954Hsan8r+426KxP+E00H/oL2P/AIEJ/jR/wmmg/wDQXsf/AAIT/Gj6xR/mX3h7Gp/K/uNuisT/AITTQf8AoL2P/gQn+NH/AAmmg/8AQXsf/AhP8aPrFH+ZfeHsan8r+426KxP+E00H/oL2P/gQn+NH/CaaD/0F7H/wIT/Gj6xR/mX3h7Gp/K/uNuisP/hNNB/6DFj/AOBCf40v/CZaD/0F7P8A8CE/xo+sUv5194exqfyv7jborE/4TLQe+r2P/gQn+NJ/wmmg/wDQYsf/AAIT/Gj6xR/nX3h7Gp/K/uNzpUVx/qJP901k/wDCaaD/ANBex/8AAhP8ajuPGWhNC+NXsj8p/wCXhP8AGs6mIpcj95feONGpzL3X9x4/+z5/yMuof9e//sy1791r52+BeqWml+IL+S8uYbWNoMBpnCAncOOa9u/4TTQv+gvZf+BCf414eR1qcMGoykk7vr5nu55TnLGtqL2X5G2tLWJ/wmmg/wDQXsf/AAIT/Gj/AITTQf8AoL2P/gQn+NfQfWKP86+88H2NT+V/cbdFYn/CaaD/ANBex/8AAhP8aP8AhNNB/wCgvY/+BCf40fWKP8y+8PY1P5X9xt0Vif8ACaaD/wBBex/8CE/xo/4TTQf+gvY/+BCf40fWKP8AMvvD2NT+V/cbdFYn/CaaD/0F7H/wIT/Gj/hNNB/6C9j/AOBCf40fWKP8y+8PY1P5X9xt0Vif8JnoP/QYsv8AwIT/ABo/4TTQf+gvY/8AgQn+NP6xR/nX3h7Gp/K/uNuisT/hNNB/6C9j/wCBCf40f8JpoP8A0F7H/wACE/xpfWKP8y+8PY1P5X9xtV4B+0H/AMjRp/8A16/+ztXsv/CaaF/0F7H/AMCE/wAa8P8AjpqlpqniKxks7mG5jW2wWhcOAdzcZHevn89rU54JqMk3ddfM9/I6c442LcXs/wAj6DsOLOHv+7X+VWK56z8Y6GlrCp1eyDBFBH2hOOPrU3/CaaD/ANBex/8AAhP8a92nXpcivJfeeFOjU5n7r+426KxP+E00H/oL2P8A4EJ/jR/wmmg/9Bex/wDAhP8AGr+sUf5l95Psan8r+426KxP+E00H/oL2P/gQn+NH/CaaD/0F7H/wIT/Gj6xR/mX3h7Gp/K/uNuisT/hNNB/6C9j/AOBCf40f8JpoP/QXsf8AwIT/ABo+sUf5l94exqfyv7jborE/4TTQf+gvY/8AgQn+NB8aaD/0F7H/AMCE/wAaPrFH+dfeHsan8r+426Kxf+Ey0H/oL2X/AIEJ/jSf8JpoP/QXsf8AwIT/ABo+sUf5194exqfyv7jborE/4TTQf+gvY/8AgQn+NH/CaaD/ANBex/8AAhP8aPrFH+dfeHsan8r+48v/AGjPu6L9Zf8A2SvR/h2w/wCEI0T1+xxf+givK/j1rVhq66P9ivILrYZd/kyq+3IXGcGu+8C+KdHtPB+jQzanaRSpaxhledAQdo4IzXzmGrU/7TrS5layPoMRTm8sorld7s7nrxWX4o58N6p/17Sf+gGof+E00L/oL2P/AIEJ/jWZ4i8XaJNoOoxx6tZu7W8gCrcISSVPHWverYil7OXvrZ9Tw6dGrzx9179jzj9nU41LWf8ArlH/ADavdK+fvgNrFlpN/q5vbqC1V4owvnSBM4LdM17N/wAJpoX/AEF7H/wIT/GvGyOtTjgYqUkt+vme1nlKcsdNqL6fkjbz7Uv1rLsfEml6hMIbbULaebGRHHMrNj6A1qGvo4zjNXi7nzsouLtJWFooorQkKKKKACiiigAooooAKKKKACiiigAooooAKKKKACiiigAooooAKKKKACiiigAooooAKKKKACiiigAooooAKKKKACiiigAooooAKKKKACiiigAooooAKKKKACiiigAooooAKKKKACiiigAooooAKTaKWigAooooAKKKKACiiigAooooAKKKKACiiigAooooAKKKKACiiigAooooAKKKKACiiigAooooAKKKKACiiigAooooAb/KsrxJoa+IdFu9PeVoluE2F16j3rW6UtZyipxcZbMqMnGSkt0eHH9nKT/oNr1/59v/ALKl/wCGcZP+g4P/AAH/APsq9vorxf7DwP8AJ+L/AMz2/wC28d/P+C/yPEP+GcZf+g4P/Af/AOyo/wCGcZf+g4P/AAH/APsq9vopf2HgP5Pxf+Y/7cx/8/4L/I+UPGHgs+E/EUOlPci4aREfzNm3G5iMYyfSu+X9nOVlB/twD/t3/wDsqyvjN/yUuzx/zxh/9DavoSP/AFaj2rwsBleGrYivGcbqLstWezjs0xdLD0JwnZyTb0R4l/wzjL/0HB/4D/8A2VH/AAzjL/0HB/4D/wD2Ve30V7v9h4D+T8X/AJnjf25j/wCf8F/kfP8Ar3wJk0PRb3UDq4mFrC83l+TjdtUnGd3tXN/Dz4cnx99tK3v2L7MUH+r37t273HpX0H8Qf+RJ10f9OUv/AKAa80/ZxHGufWH+T14VfK8JDMKdKMPdknfVns0M1xcsBVqufvRatouoz/hnGX/oOD/wH/8AsqP+GcZf+g4P/Af/AOyr2+ivd/sPAfyfi/8AM8b+3Mf/AD/gv8jxD/hnGX/oOD/wH/8AsqP+GcZf+g4P/Af/AOyr2+ij+w8B/J+L/wAw/tzH/wDPz8F/keIf8M4y/wDQcH/gP/8AZUf8M4y/9Bwf+A//ANlXt9FH9h4D+T8X/mH9uY//AJ+fgv8AI8Q/4Zxl/wCg4P8AwH/+yo/4Zxl/6Dg/8B//ALKvb6KP7DwH8n4v/MP7cx//AD8/Bf5HiH/DOco6a4P/AAH/APsq4b4geAW8C3lpbteC789S27y9m3BA9T619TmvB/2hv+Q1pH/XJ/5ivFzbKcLhsK6lKNnddX3PYynNcXicXGnVldWfRdvQktf2epLq2jl/ttV8xQ237P0yP96pv+GcZP8AoOD/AMB//sq9i0n/AJBtt/1zX+Qq5Xq08jwLim4dO7/zPJnneOUmlP8ABf5HiP8AwzjL/wBBwf8AgP8A/ZU1/wBnWSNWY62pxzj7P1/8er3Gorg/uJP9006mR4FQdofi/wDMUc8x917/AOC/yPlnwD4HPjrUri0F59kMMfmb/L355AxjI9a7sfs4yf8AQcUf9u3/ANlVD9nv/kZtQ/69/wD2Za9+/CvIyfKsJiMMqlSN3d9Wexm+a4vD4uUKc7Ky6Lt6HiH/AAznL/0HB/4D/wD2VL/wzjL/ANBwf+A//wBlXt60V7f9h4D+T8WeN/bmP/n/AAX+R4h/wzjL/wBBwf8AgP8A/ZUf8M4y/wDQcH/gP/8AZV7fRR/YeA/k/F/5h/bmP/5+fgv8jxD/AIZxl/6Dg/8AAf8A+yo/4Zxl/wCg4P8AwH/+yr2+ij+w8B/J+L/zD+3Mf/z8/Bf5HiH/AAzjL/0HB/4D/wD2VH/DOMv/AEHB/wCA/wD9lXt9FH9h4D+T8X/mH9uY/wD5+fgv8jwLXPgNLouj3t+dYEwtoXm8vyMZ2qTjO72rl/h78PW8fyX6i+Fl9lCHmLfu3bvcYxtr6H8c4/4QzXP+vKb/ANFmvLP2ch+/14/7MH/tSvCxGV4WnmFGjGPuyTurvoe3hs0xc8BWrSl70WrOy6sd/wAM4y/9Bwf+A/8A9lR/wzjL/wBBwf8AgP8A/ZV7hRXu/wBh4D+T8X/meJ/bmP8A5/wX+R4cf2cpf+g2v/gP/wDZVwXj7wO3gXUreza7F350Xm7vL2Y5Ix1PpX1XXgP7Qf8AyNGn/wDXr/7O1eJnGVYTD4R1KcbO66vuexlGa4vEYuMKkrrXouxdh/Z3kmhST+21XeA2Ps/r/wACqT/hnGX/AKDg/wDAf/7KvZ7H/j0g/wCua/yqxmvYhkmBcF7n4v8AzPJlneP5n7/4L/I8Q/4Zxl/6Dg/8B/8A7Kj/AIZxl/6Dg/8AAf8A+yr2+ir/ALDwH8n4v/Mn+3Mf/P8Agv8AI8Q/4Zxl/wCg4P8AwH/+yo/4Zxl/6Dg/8B//ALKvb6KP7DwH8n4v/MP7cx//AD8/Bf5HiH/DOMv/AEHB/wCA/wD9lR/wzjL/ANBwf+A//wBlXt9FH9h4D+T8X/mH9uY//n5+C/yPEP8AhnGT/oOD/wAB/wD7KmN+zrLGpP8AbgOP+nf/AOyr3Ko7j/UP9KieSYGMW1D8WNZ3jr/H+C/yPlLwL4MPjbWpdPW6FqY4TL5nl7s4ZRjGR616F/wzjL/0HB/4D/8A2VY3wD/5Ha7/AOvR/wD0NK+h68jKsqwmJw/PUjd3fV9z1s1zXF4fE8lOVlZdF2PEf+GcZf8AoOD/AMB//sqP+GcZf+g4P/Af/wCyr2+iva/sPAfyfi/8zyP7cx//AD8/Bf5Hy58Qvhy3gIWRa+F79pLj/VbNu3HufWui8P8AwKk17RrO/GriEXMKy+X5GduQDjO73rW/aMGF0X6y/wDslej/AA7/AORJ0Mf9OcX/AKCK8KhleFnmFSi4e7FK2rPar5pi45fSqqfvSbvouh5p/wAM4y/9Bwf+A/8A9lR/wzhL/wBBxf8AwG/+yr2+ivd/sPAfyfi/8zxP7cx/8/4I8Q/4Zwk/6Di/+A3/ANlS/wDDOMn/AEHV/wDAb/7KvbuaOaX9h4D+T8WP+3Mf/wA/PwX+R5R4P+CP/CM69b6jLqrT+SSyxpFsycY5OTxzXqyjHFLRXqYbC0sJDkoqyPLxGKq4qfPWd2LRRRXYcoUUUUAFFFFABRRRQAUUUUAFFFFABRRRQAUUUUAFFFFABRRRQAUUUUAFFFFABRRRQAUUUUAFFFFABRRRQAUUUUAFFFFABRRRQAUUUUAFFFFABRRRQAUUUUAFFFFABRRRQAUUUUAFFFFABRRRQAUUUUAFFFFABRRRQAUUUUAFFFFABRRRQAUUUUAFFFFABRRRQAUUUUAFFFFABRRRQAUUUUAFFFFABRRRQAUUUUAFFFFABRRRQAUUUUAFFFFAHzx8Zv8AkpVn/wBcYf8A0Nq+hY/9Wv0FfPXxm/5KVZ/9cYf/AENq+hY/9Wv0FfMZV/vWJ/xL8j6LMv8AdcL/AIX+Y6iiivpz50534gf8iRrn/XlL/wCgGvNf2cfu679Yf5PXpXxA/wCRI1z/AK8pv/QDXmn7OP3dd+sP8nr5jE/8jSj6M+hw3/Isr+qPbaKKK+nPngooooAKKKKACiiigBrV4P8AtDf8hrSP+uT/APoQr3luleDftCf8hrR/+uT/APoQr53Pv9yfqvzR9BkP+/R9H+R7XpP/ACDrb/rkv8hV2qWk/wDIOtv+uS/yFXe1e5S/hx9Dw6nxsWorr/j3k/3TUtRXX/HvJ/umqqfAyY7o8F/Z7/5GbUP+vf8A9mWvf+4rwD9nv/kZtQ/69/8A2Za9/wC4rwMh/wByXq/zPfz3/fZei/IFpaRaWvoz54KKKKACiiigAooooAwPHX/Il65/15zf+izXlv7OP/Hxr3+5B/7Ur1Lx1/yJeuf9ec3/AKLNeW/s4/8AHxr3+5B/7Ur5nGf8jTD+j/I+iwv/ACLMR6x/M9xooor6Y+dEHevn/wDaE/5GjT/+vX/2dq+gB3r5/wD2hP8AkaNP/wCvX/2dq+bz/wD3J+q/M+hyL/fo+j/I95sP+POH/rmv8qnqCw/484f+ua/yqevfpfAjwZ/ExaKKK1ICiiigAooooAKiuf8AUP8ASpaiuf8AUP8ASs6nwMqO6Pnz4A/8jtd/9ej/APoaV9DV88/AH/kdrv8A69H/APQ0r6Grwci/3X5s97PP97fovyHUUUV9EfPnif7R33dD+sv/ALJXo/w7/wCRI0P/AK9Iv/QRXnP7Rn3dD/7bf+yV6N8O/wDkSND/AOvSL/0EV8xhf+RpW9EfRYj/AJFdH/EzpaKKK+nPnQooooAKKKKACiiigAooooAKKKKACiiigAooooAKKKKACiiigAooooAKKKKACiiigAooooAKKKKACiiigAooooAKKKKACiiigAooooAKKKKACiiigAooooAKKKKACiiigAooooAKKKKACiiigAooooAKKKKACiiigAooooAKKKKACiiigAooooAKKKKACiiigAooooAKKKKACiiigAooooAKKKKACiiigAooooAKKKKACiiigAooooAKKKKACiiigBOoprEKuad2r5/+MHjq6v8AXZtJs52hsbQ+XJ5ZI82T+LPsDxj1BPpjmr1o0I8zNadN1JWR7r/aVovBuoQf+ug/xo/tS0/5+4P+/i/418flskknJPWj8a8v+0v7p2/U/wC8emfFjT7rUviFaXNpbyXMAiiBlhUsow7Z5Fe5R6lZqi/6XB0/56D/ABr5A/H9KX8a87D1o4epUqJXc3c78RGWIp06b05FY+wP7Ss/+fuD/v4tH9p2n/P3B/38Wvj/AD70Z969H+0n/L+JwfU/7x9R+OLyG68I6xDBNHLNJaSqkaOCzEocADua4D4C20ujLrIv42svMMWz7R8m7G/OM9eorxv8f0pPx/SvPqVo1MTDEtaxTVvU7qcZQw88OtpNO/ofYP8Aaln/AM/UP/fxanjmjmXdG6uvqpBFfHGff9K2/DHjC/8AC2oRXFpO4jVhvhLHY655Uj6Z+lelHMk3aUTz5YNpaM+sMilqvY3K3lnBOn3ZUDj8RmrFe0ndXPPCiiimAjdKrTX1vC2JZ4429GcCuL+L3i248K+HV+xv5V1dv5SSjqgxkke/+NfO1zdTXkxluJnnkJyXkYsfzNebiMYqEuRK7Oqlh3UXNex9dHVLTn/S4f8Av4P8a8Z+Olncaxq2lPYxPeIkThmgG8Kdw64ryb8aPxrxsZXWMpOlJWTt+B62DjLB1VWjq1+qPrbTdRtY7C3VrmFWEaggyDPQe9Wv7Vs/+fqD/v4v+NfH/wCP6UfjXZHMOVKKicTwvM2+Y+v/AO1LT/n7g/7+LUdxqVoYJALqHO0/8tB/jXyJ+P6UfjRLMOZW5fxBYOz+I9S+B9jc6Pr99JewSWcbQYV7hdgJ3DgE17d/atp/z9wf9/F/xr4+/H9KX8a48FXjg6SpRV0jtxkZYyq6snZs+w4r23mYrHPG59FcGp+K+Oba6ls5hLBM8MgOQ0bFT+lfRfwl8ZTeK9Bdbtt99ZsI5Wxy4IyrH3OCPwr2cPjFWlytWZ5VXDumr3ud7RRRXpHIN206is/Wr46Xo99eKgc28DyhScA7VJx+lS3ZXYytrHirSdAwNQ1C3tmxkI7jcfovWsn/AIWp4V/6DMP/AHy3/wATXzXqGpXGrX095dytNcTMWd27n+g9qrZ968GWYTv7q0PTjg01qz6K8SfELw1q2g6lZQ6xbiS4t5IULq4G5lIGfl6c1xXwj1LSfA8upvqOtWLfaljCeR5jY2785yg/vCvKvxoz71w1K3tK0K8o+9G9vmdcIyp0Z0Iv3ZWv8j6d/wCFqeFf+gzD/wB8t/8AE0f8LU8K/wDQah/75b/4mvmL8aPxrs/tCp2Ry/U49z6e/wCFq+Ff+gzD/wB8t/hXlnxWuNM8aa1a3Wn63YrFHD5becZFOdxPGEPrXmn4/pR+NcmJxH1qn7KpHRnVhoSwtRVab1R9M2vxQ8LQ28SNrEOVUA/K/p9KmX4peFmYAaxDk8cqwH8q+YPxoz711RzCpFWSRzfU1J3bPsDT9StNUgE1pcRXUTdJIXDD8xVyvmz4O65caV4ytbaN2+zXpMUkeeDwSDj1GP1NfSVexh6/t4c1rHn1afspWFooorrMRO9MdljUkkBRySTT8c5ryb48eILix02y0y3lMS3RZ5tpwSq4wufTJ/QVhWqKjBzZpCDqSUUdjd/EjwzZymOXWLYuOD5ZL4/FQary/FLwqyEf2xDyMfdf/CvmT8aPxrxJZhN391HorCLe56N8LZNN8G+Ip76+1uweJ4GiAgMjHJZT3QccV67ZfEbw9qFwtva6iLmdvuxxROzH8AtfLn4123hHdY+BvFWo28jR3qiGBXXG5UZwGx9c4rDB1vq8fZQWmr/U3xcZYiXtZv3tF+h77qnifTtGtfPu7oRQZ2mQKzKp9CQDg/Wq+k+NtG1yRlsb0XJXlmSN9q+5OMD8a8M+FBN54iuLCd2ezu7WVLhCxwVx1PuPWm69I2lfDnw7b2smyK+eee524BdlKgAkdQAT+npXpfXJOPMlocDw9ny9Tr/jYtrr0mmwLqNvZS25kZluxIm4NtwVIQ5HBrofCvj/AMN6L4d02wn1m3M1vAkTmMOVJCgHB29K+fprqa4VFlmeRYxhQ7Fgv09Ki/GvJjWVOvOvFay/Q9KUZVKEaEn7sW2vmfT3/C1PCv8A0GYf++W/wqzYfELw7qU3lW+r2zyE4Cs2wn2G7Ga+WM+9G73rs/tGfVHK8HHufZOc8g5FL3rzr4J+ILjWvC8ltdO00lnJ5SyMckoRkA/TkfTFejV7lOoqkFNdTzJRcJNMWiiitSQooooAKKKKACiiigAooooAKKKKACiiigAooooAKKKKACiiigAooooAKKKKACiiigAooooAKKKKACiiigAooooAKKKKACiiigAooooAKKKKACiiigAooooAKKKKACiiigAooooAKKKKACiiigAooooAKKKKACiiigAooooAKKKKACiiigAooooAKKKKACiiigAooooAKKKKACiiigAooooAKKKKACiiigAooooAKKKKACiiigAooooAQ18o+OePGeu4/wCf2X/0I19XGvlHx1/yOmuf9fsv/oRrx8x+BHdg/jZh0UUV8+euFbul+E5r7TRqN1eW2l2DP5aTXRYeYw6hQAScevSsKu48bLHJ4L8HS2y/6OtvIjFVwBJld345B/I1tTimm2r2Mpt6JdTB1zwrcaLZQXwuLe+0+diiXVsxK7h/CcgEHr+Rq1/wg8ttFbnUNTsNLnnQSLb3TOJNp6EhVOM+9bvh+S2s/hvu1FQttNrELJvU/Mo27yPUbQR+FZvxXjkXx1qLlW2SeW0bY4ZdijIreVOMY89u2hgpyk+W5yl1AbW6mgLxyNE5QtGwZSQcZBHUVHSsrRsUYFWU4KkYIpK43udmoUUUf/E0LcWp9aeEv+RY0n/r1j/9BFay1k+Ef+RX0n/r1j/9BFay9K+zh8KPnZbsWiiitCTx/wDaF/48dI/66SfyFeKV7b+0J/x46P8A9dJP5CvEq+Wx38Zns4b+GgooorgOw0NC0G68RX32a1CgqpkkkkO1I0HVmPYCtT/hCTcQTPp+r6dqU0MZle3gdw5UZyV3KM4AzVnwWqyeH/FkUSM961mhjCjLbA4L4/8AHfyqL4X718aWMo+WKFXkmfssYQ7s+2OPxrrhGNoprc5JSld2exn6L4Xn1iznvWuLexsYWCNc3TFV3noowCSfoKg1jSF0ryDHqFnqEcobDWrk7SDyCGAI6jtzW9qim4+HNhJbKzQx6hP9oKfdDELtJH06VyOxgoYqdpJAbHBx/wDrH51FSMYLlSLg5Sd7iUUUVznQFey/s7/8x3/t3/8AaleNV7N+zz/zHv8At3/9qV34H+MjjxP8NnstFFFfUnjDf4qyPGH/ACKes/8AXnN/6Aa1/wCKsjxj/wAiprP/AF5zf+gGsqvwMqO6Pk5vvGko/iNFfGH0YU+3t5Ly4igiG+WVwiL6sTgD8zTKv+H7qOx13TrmY7YoriN3Y9gGBJpxV3Zky0TOkvNB8L+H7o6dql7qVxqEZCzyWKx+QjHqvzfMcd/p0HSoZPh5d/8ACVLpEdxG0LxfalvCML9n5PmEfpj1HXHNP8X+D9Vm8VX0lrZyXkF7cNPbzW6FkdXJYYPTvg/Q10y3FjJ4tj0Vb6MOugHSPOP3POIPGR9fzGK9BQjJtSVtdDi5nFXTucZqUHhNbSdLG61T7ZGMpJcJGYpCPQD5hntnpXOfpWvceEdasxcmbTp4UtwWleRdqgD3PBrIrjqXvdqx1wt0dwooorI0On+Gn/I+aL/13/8AZTX1Ee1fLvwz/wCR80f/AK7/ANDX1Ee1fQ5b/Dl6nj4v4xR3paQd6WvXOIReleIftCf8hTSf+uL/APoQr29eleH/ALQf/IU0n/ri/wD6FXBjP4Ejpw/8RHktFFFfLHuahWz4Z8SSeHZpwbeK9srlPLubWYfLIuc9exHY9qxqd5bBFcqdjdGxwfpVRk4u6JaUtGdNceLtPtbG5g0TRBpUtyhiluHumnfyz1Vcgbc96g0bxZDZ6SdJ1PTY9V05XMsUbSmKSJz12uAeD3GK56pY7Wea3mmjidoYdvmSAfKmTgZPvWiqzbujP2cbalzW9SstQmj+waammQRrgRiUysxJySzHr+XSs6iis223dmqXKrIKKKKkZ7h+z5/yCdW/67p/6Ca9bryP9nv/AJBOrf8AXZP/AEE165X1mF/gxPBr/wARhRRRXYYBRRRQAUUUUAFFFFABRRRQAUUUUAFFFFABRRRQAUUUUAFFFFABRRRQAUUUUAFFFFABRRRQAUUUUAFFFFABRRRQAUUUUAFFFFABRRRQAUUUUAFFFFABRRRQAUUUUAFFFFABRRRQAUUUUAFFFFABRRRQAUUUUAFFFFABRRRQAUUUUAFFFFABRRRQAUUUUAFFFFABRRRQAUUUUAFFFFABRRRQAUUUUAFFFFABRRRQAUUUUAFFFFABRRRQAhr5R8df8jprn/X7L/6Ea+rjXyj46/5HTXP+v2X/ANCNePmPwI7sH8bMOiiivnz1wrb0Hxhqnh2GSC2kjltJG3NbXEYkjLeuD0P06/gKxKt6fpN1qv2gW0fmeRE08nIGEUZJ5qouSfukySa94sa54k1DxFNHJfT7xGNscaKESMeiqOBWnpvxG1zS7BLRJ4po4l2wtPCkjRDttJH6HPSs/RfC+o+II5ZbSD/RouJLiVgkSexYkDNM1rw3qPh9ofttv5aTLuilVg6SD1DDg9f1rVOr8epnam/dKFxcSXdxJPM7STSMXd2OSzE5JNR0UVgbaBRRRTW4pH1p4T/5FfSv+vWP/wBBFay9KyfCf/Ir6V/16x/+gitZelfZw+FHzstxaKKK0JPIf2hP+PHSP+ukn8hXiVe2/tCf8eOkf9dJP5CvEq+Wx38ZntYb+GgooALcAZNdBdeA9asrGW6mtVCwx+dLGJUMkceM7iucgVxRhKWyOlyS3ZlaXq13ot9HeWU7W9xH0ZefqCDwR7GtjVPiDrOrWcto8sNvBMMTC3gWMy/7xAz+ArM1LQ7rSbOwuZ9nlXsfmw7XBO3Pcdqz6rmnFct7C5Yy941tA8Van4aaT7BOEjlwJIZEDo/1Uj9etN17xJf+JLiOW+lVhGCsccaBEQHrgAfTnrwPSsuilzStyt6Byq/MlqFFaPh/Q5/EeqR2NsyLNIGIZ+nAJ/pWd7VNna5XMr2CvZv2ef8AmPf9u/8A7UrxmvZv2ef+Y9/27/8AtSu/A/xkcmK/hs9looor6g8Yb/FWR4y/5FPWf+vOb/0A1r/xVkeMf+RU1n/rzm/9ANZVfgZUd0fJzfeNJSt940lfGH0cfhCitbwz4dm8U6otjBNHA5RpDJLnACjJ6A1Z1Dwi1rpMupWWoWuqWcLrHM1vuDRljgZVgDg+taKnKS5ktCHOKdmZtvrWoWtq1rDfXEVs33oUlYIfqM4qlnnPejd3qxDaxS2dxObqOOWMqFgYMWkznJGBjj3Iqfel1H7q6DrjVb28t0gnu55oYxhI5JCyr9ATVWir9jot1qGn397CqmCxCGYs2CNxIGB36Gn70n3FeMUUKKKKgs6f4af8j5o3/Xf+hr6iPavl34af8j5o3/Xf+hr6iPavoct/hy9TyMZ8Yo70tIO9LXrnCIvSvD/2g/8AkKaT/wBcX/8AQq9wXpXh/wC0H/yFNJ/64v8A+hV5+O/gSOnD/wARHktFFFfLnuD4YnnmSKNd0jsFVR3JOAK9O1u1tr/Q9S8NWoj87QbaO4RxjMjKCbjn/gXTPVa4TwtfWml69aXt6GaC3Yy7FGSzAEqPpuxn2rf0X4o6pb65DPevFJZySYuFW3jDGNuG+ZQCSM59yBXZRcIxfM99DlqqTenQo6H4N/4SbS4pNOuDLfJOI7m3dcCNGziQHuvHPcfiM37e3tbTwv41hs52ubWKW0RJmAG8CVuR7elN0fxZp3g+Nn0qNrye5uG+0CePav2YZxGOTyc5J9h6c1ZtW0mz0vxNYWBmMF9JbvahlwQqOzFT9AcVa9nFab9TP35Mmj8G2NrNptlqVxdxX17GkmYYQ0cO/wC6GyQSfX0965fULGXTb65tJgBNbyNE+DkZU4NdjqXiax8SLZ3NzrGoaXdRwJBNFDEZEcrxvBDrjPpiuJmbfNI25n3MTuf7x9z71lVULLkNqfNf3hlFFFcp0HuH7Pn/ACCdW/67p/6Ca9bryT9nz/kE6t/13T/0E163X1mF/gxPCxH8WQUUUV2HOFFFFABRRRQAUUUUAFFFFABRRRQAUUUUAFFFFABRRRQAUUUUAFFFFABRRRQAUUUUAFFFFABRRRQAUUUUAFFFFABRRRQAUUUUAFFFFABRRRQAUUUUAFFFFABRRRQAUUUUAFFFFABRRRQAUUUUAFFFFABRRRQAUUUUAFFFFABRRRQAUUUUAFFFFABRRRQAUUUUAFFFFABRRRQAUUUUAFFFFABRRRQAUUUUAFFFFABRRRQAUUUUAFFFFACGvlHx1/yOmuf9fsv/AKEa+rjXyj44/wCRz13/AK/Zf/QjXj5j8CO7B/GzDooor589cK674ef8zF/2B7n/ANArka09D16XQ/t3lRrJ9rtZLVt38KuMEj3rWnJRmmyKicotI6Pxdm18BeE4IDst50mmlVTw8mV5I9s/rS6d5dx8JtVFw2Tb38bWwJ6OQAwH/ASxrI03xc1ro40q9sLfVLBHMkUc5ZTGx6kMpB/Coda8TS6pY29hBbxafpsDGRLWAsQXPViSSSfr0ro54/Ffpaxz8svhfcxaKKK4jrCiij1poUj608J/8ivpX/XrH/6CK1l6Vk+E/wDkV9K/69Y//QRWstfZw+FHzstxaKKK0JPIf2hP+PHSP+ukn8hXiVe2/tCf8eOkf9dJP5CvEq+Wx38Zns4b+EiS3ma3uI5VGWjYOAfUHNdtqmn6f48a71TRJZbfWAjXN1ptxyHAHztG49z0PXPauIhk8mZJCiyBWDbHGVbHYj0ro18ZxWcN0NO0a0064uYmge4ieRmCN94LuYhc+3pWNKUUmpbGlSLunHc3bPwzpl1qvguCSALFeWhluApI8wjceTnjpTNesYtL8I3D6nodjpmqyXIjt41VgxiKnLKN3Y9zn0qDwp4oW81vSEvXtrSKws5LaJpmxHKSpwrk5wCTg1Jq1laR+HdRk1mz02x1MFPsK6fOGkbJ5JVXYbcdzXUnFwbj/WhzaqSTLTQ6TpuqeF9O/sS0uBqNpavcTTFi37z5SVwcA9T+NZOl6LNZ6hq8cGl2V9Db3Hki51CTZHHgt8oJYAsePXpWVc+Kp7rVNHvmhjEmmxQwxrzhxEcgn61YTxo0lvf215YQXtrd3RvPJdmXZIeCQVIOMY/KsvaQbNeSSR2Wi6Pb6T8RtEa3hit1urDz2hgbfGjFGBCnJyMrnr3rymuq/wCFgXK65p2pR2VvG1jbfZY4V3BNvzY75zhv0rlT61jUlGStHuaU4uL1CvZv2eemvf8Abv8A+1K8Zr2b9nn/AJj3/bD/ANqV0YH+OjPFfwmey0UUV9QeMN/irI8Y/wDIqaz/ANec3/oBrX/irH8Yf8inrP8A15zf+gGsqnwMqPxI+T2+8aSlakr4w+jj8J2vwhx/wmA3Z2/Zpc46/dqrea9oth4fu9K0OK9/4mDxm5uL/YCqocqqhT6k8n/9WFoutXfh+++12TiObYybmUHgjB61Q210Rq8sLJGEqfNK7PTNc1i78O+NIPD+nQRrpCtDH9j8sFbkMq7i2RliSxGfYVj6xYwafo/im3t1xDDq8ccffCjzcDP4Cs+1+IOs2ttHGskDzRR+VFdyQK08SYxtVyMgVjLqVwmnz2W/dBPKs0gbkll3YOf+BGtpVovb/hjJU5I9FuPEtzY+MtH02GK3WyuIbOG5j8pT9oDxoDvJ6gA8Dpx9ado+oXGh6P49t7GUwRWFwq24GDsHmuO/sB1rz6bXrybVLbUHdTdW/lbG28fuwAvH/ARVnT/Fmo6bqV9eRvHI98WNzFJGHjl3HJyp46mn7aN/67C9k7GTPM9zNJNI26SRi7NjGSTk0ypLi4e6uJZpNu+Ri7bVCjJOeAOBUdcB2I6f4Z/8j5ov/Xf/ANlNfURr5d+Gf/I+aP8A9dv/AGU19Q19Dl38J+p5OM+McvSloor1zhCvD/2hP+QrpH/XF/8A0IV7hXh37Qn/ACE9JPbynH/jwrgxv8CR04f+IjyWit3wR4cHinxJbWLsyQYaSZlxkIoycZ98D8anvPEekTC4t4fD9vHalSsEgdhOh5wzNk5PTI6V82qd43bseu5+9ypXOborpNP8C3F5Z2082o6fpzXQzbw3kxWSUE4DAAHAPYmqjeFNQjTVzMqQPpm03Ebn5vmYKNuMg8n16Ueyl1Qe0j3Mair7aPOuhrq26P7K1ybULk794QNnGOmD610F18MtRtZri2N/pr38Ks4so7gmV1A3EqMenIBwaSpSlsgdSK3ZyFFdhpvgeDUvBp1I6nY2t01yEH2i4KqiANlGG04Y4yPUVl6b4TmvrGO8nvbPTbWV2jgkvJComYcHbhTwD1Y4FV7Gemm4e0jrqYdFdBZ+BtUvtYvdNHkQ3FnH5srSybU2ZUbgccjDBvpn6Vmaxpo0m+a3W8tr5QAfOtH3oc9s461DhKKu0OM1J2PY/wBnz/kE6t/13T/0E163Xkn7Pn/IJ1b/AK7p/wCgmvW6+pwv8GJ4tf8AiMKKKK7DAKKKKACiiigAooooAKKKKACiiigAooooAKKKKACiiigAooooAKKKKACiiigAooooAKKKKACiiigAooooAKKKKACiiigAooooAKKKKACiiigAooooAKKKKACiiigAooooAKKKKACiiigAooooAKKKKACiiigAooooAKKKKACiiigAooooAKKKKACiiigAooooAKKKKACiiigAooooAKKKKACiiigAooooAKKKKACiiigAooooAKKKKAEPSvnD4ueE59D8T3N8qs1lfOZlkPQOeWUn69PYivo8NUF1aw3kJiniSaNuqSKCD+BrlxFBV4crNqVR05XPjyivq1vBGguxLaRZknqfJX/Cj/hBfD//AEB7P/vyK8r+zZfzHd9cXY+UqK+rP+EH0D/oD2f/AH5Wj/hB9A/6A9n/AN+Vo/s2f8wfXF2PlOivqz/hB9A/6A9n/wB+Vo/4QfQP+gPZ/wDflaP7Nn/MH1xdj5Tor6s/4QfQP+gPZ/8AflaP+EH0D/oD2f8A35Wj+zZfzB9cXY+U6vaLo91r+pQWNnE000rY+UZCjux9AK+nv+EF8P8A/QHs/wDvyK0dP0ix0tStnaQ2wPXykC5/KnHLXdc0tCZYzTRD9NtVsdPtrZekMaoMewxVuiivcSsrHmhRRRVAecfGrw3c674dhmtI2mls5DIY1GWZSMHA9uK+e+hweDX2R1461lXXhPR76QyT6ZayyE5LNEMk15eIwXtp86djto4j2ceVo+TKK+rP+EH0D/oD2f8A35Wj/hB9A/6A9n/35WuT+zZfzG/1xdj5Tor6t/4Qfw//ANAez/78rR/wg/h//oD2f/flaP7Nn/ML65H+U+UqK+rf+EH0D/oD2f8A35Wj/hB9A/6A9n/35Wj+zZfzB9cXY+UqK+rP+EH0D/oD2f8A35Wj/hB9A/6A9n/35Wj+zZ/zD+uLsfKfXpzzivoL4K+F59A0Ga7ukaO4v2V/LYYKxgHbkdick/iK7C18J6PYyB4NLtYnByGWJcg+ta+BXXhsH7GXNJ3MK2I9orJDqKKK9Q4gqpqFpHqNjcWsuTFNG0b44O0gg1boqWr6AfLXiz4f6r4UvpI5LeW4tM/u7qKMlGHbJHQ+xrn/ALJP/wA8Jf8Avg/4V9hbaUoK8mWXRbupWO+OMklZo+O/sdx/zwl/74P+FH2O4/54S/8AfB/wr7E2ijaKj+zY/wAw/rkux8d/Y5/+eEv/AHwf8KX7Hcf88Jf++DX2HtFG0Uf2bH+YPrkux8efY7j/AJ4Tf9+zR9juP+eE3/fs19h7RRin/Zy/mH9cf8p8efY7j/nhN/37NAs7jIHkS5/3DX2HtHoKNopf2bH+YX1x9jw/4R/Dm/i1aDWtRga1hhBMMUqlZGbGM47Dnv1r3E0irTq9SjRjRjyxOSpUdSXMwooorcyG+lcH8VvA83jDSYXtCPttqSyIxAEgPVc+vAx+PrXe9qKyqQVSLhLZlRk4u6PmPwXeXXgfxZFLqFhcwxkNDMrQtuVWHUD64P0o1DwALOK4uU1rTprNFZ4vLlLTPx8o8sDIJOB7V9NYx2o2jFcCwMOXlb0On6w+bmSsfOl94dXxXFpN7FqVnZJDZw208N1L5csZjG0lVIyQcZGK0DqNt4l1rxZbCX7HHqUEUdtcXSlIy0QX7xI+Xdt7+vrxXvmKNoz0q/qi7ke2fY+bde0yPR/AcGnJewX95/abSyLaksFzEBwf4hwPmHGeOxq9LdIvxi+3CVRZG6z9oDfu9uzru6Y/GvoTA9KNo/u0ng1dWe1vwH7Z9UfNmi6aNZ8H6jpguYLK7W/S6AvG8pXQIynaSOTz0rQs/O1rwnpFrZy6VaXWn+bFPHqcMYzuclXQyKc5HXHevoPb/s0Y7YpxwiX2gdZvofNv2i7Fx4nF/dQ3Fy9gsCS24AjkKvFhUwADhR2HY1y2n+H9S1a4FvZWE88rH7qRn8yew9zX11t9qXaKzlgVJq8i44lxvZHI/Dfwe3g3w+LaZ1ku5n82Zl6AkABQe4AH866/NH1oGK9GEFCKjHZHLKTk7sWiiitCQ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8B/bW+MWsfBX4H3Wq6A3kaxqF5FplteDB+zFw7tJgggnZGyj0LA9q/Ltv2gvig7Fj8RvFmTyca3cgfkHr9B/8Agpx/yb7pP/YxW3/pPcV+XsNvLcFxFG0mxS7bVJ2qOpOOgoA7v/hf3xP/AOijeLP/AAd3P/xdH/C/vif/ANFG8Wf+Du5/+LrgaKAO+/4X98T/APoo3iz/AMHdz/8AF0f8L++J/wD0UbxZ/wCDu5/+Lri9J0m817VLXTdOtZb2/upFhgt4FLPI5OAoHqTXscP7NMC27W178QvDtlr/AJqx/YjHcy2yZxkPdJGUBBJyVDLx96plKMd2ceIxmGwlvbzUb7Xdjjx+0B8UFII+I3izI551u5/+Lr9S/wBi/wCK2ufGD4FadrPiOZbrV4LmaylugoUz7CMOwAA3YYA464z3r8i/FHhfUvBuuXOkavbfZb63I3JuV1IIyGVlJDKRghgSCCK/UT/gm3/ybdH/ANhe6/klUdcZKSvE+qKKKKBhRRRQAUUUUAFFFFABRRRQAUUUUAFFV7i6itYXmmkWKOMFnkkYKqgdSSegrwH4zft6fBL4GieDXfGtpqOsRKf+JPof+nXRYY+RgnyRNzx5rJmgD6GorwT9l39szwD+1pZ63J4Oj1Szu9HaMXVlq8CRShXzskGx3BUlWHXOQeK97oAKKKKACiiigAoorgviP421DwlcWSWSQMJlYt5yE9D2wRQB3tFeOaL8WNb1LWdPtJY7NYp7iOJ9sbA4ZgDj5vevY6ACivN/iF4/1LwrrUdrZpbvE0Qc+ahJzk+hFUfBvxM1fxB4ks9PuI7VYJt+4xoQ3CMwx83qKAPVqKK8v8c/EfVfDfiGaxtktmhRVbMqEtyM9iKAPUKK83+Hvj/UvFWuS2l4lusSwNKPKQg5DKO5Pqa9IoATIpa8i8SfFPWdH169soI7UwwSsil42JwPX5q6L4beNL/xdJqAvVgUW4jKeShX727Ock+goA7u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kT/gpx/yb3pP/YxW3/pPcVh/8E6tT+HX/CmtSt1+wQeKYZZ5td+3GPeYc/I4Lf8ALER7QewYPnGedz/gpx/yb3pP/YxW3/pPcV+XLAN1GaAPRv2iL7w1qXxs8YXXhAxt4flv3a2aAARN/eMeABsLbse3rXnVFFAHsP7LqpJ4216GFQ2tTeHr5NLAUl/P2qZAmP4zbi4A+vriuixyR39K8D0/ULnSb62vbK4ktby3kWaGeFirxupBVlI6EEAg16xH+0trX9nyJc+G/DN5qrNv/tabTz52cg52BhETx1MZ6muDEYd1mmnsfnnE3DdfOqtOrRqJcqs09vUl/aIkt2s/AkUjO2sR6S/2jMitthNxKYAQDkNtJPP8LJ2r7z/4Ju/8m3Rf9he6/klflz4i8Raj4r1i41TVbp7y+nI3yP6AYCgDgAAAADgACv1G/wCCbv8AybbH/wBhe6/kldkI8sVE+1wOH+qYaFBu/Kkr97H1RS0UVZ3BRRRQAUUV+ev/AAVI+IH7QPgu98Jf8KvXWLLwc0Dvfaj4dheW5N3uI8uYqCUjCBSpwAWZ8k4AAB+hVFfz4/8ADRH7WX/Qy/EX/wAB7j/4ij/hoj9rL/oZfiL/AOA9x/8AEUAf0HU1nC9SB9a/nz/4aI/ay/6GX4i/+A9x/wDEVSv9Y/ah+Pk0fhi9l+IXiZbgbG0+VLlYWUkf60YCbcgcvxmgD9jfjJ/wUA+B3wTmubLV/Gdrq+s27FJNK0Ei9nR1YqyOUOyNlIOVdlYY6V8T/F3/AILWatdRva/DXwJa2RYY/tLxJK0zD7wO2CJlAP3SGLkdQVNeXfCP/gj/APGDxy1tc+LL3SvAGmyBWf7U5u7xVIzxDGduQeCGkWvuj4Q/8Epfgd8NI0l1nTrzx5qWPmuNdl/c5KgELDGFUDIJG7cwzjcaAPyn1r4x/tCftgeIjox1jxR43vLg+YdI0mNxbxqcRlzBCBHGnzAFiAOeTXuvwk/4I9fFzxn5Nx4wvtL8CWb8vDNILy6UbsEbIzszjkfP9cV+y/hfwjoXgfSY9K8O6NYaFpsZ3LaabbJBECep2qAMnHXqa8u/bI1rx94c/Zw8Z6h8MoLifxpDbx/Y1s4jLOFMyCVo1HJcRFyMZOQODQBgfsg/sV+E/wBkHQtTh0XUr7Xdb1YRf2jq18qJ5mzO1I41HyJlmOCzHJPzGvouv59JP2hP2s45GR/EfxGR1OCptrgEH0xspn/DRH7WX/Qy/EX/AMB7j/4igD+g6iv59of2hv2tJJkSPxH8RnkZgFUW1wST2AGzmv2Z/Yx1j4ieIP2b/B198UYLiDxjJA/ntep5dzJFvbynmTA2yFNuQRnueSaAPcKQtgZpaKAPyu/ae/4K0fEX4U/HDxX4N8J+DfD8emaDePYGXxDbXUlzO6HBkASaMKjdVGDlcNnnA8I8Vf8ABXD4u+L5YHvPDXgqIwgqvk2V4Ovrm6NfrV49/ZM+D3xQ8Rz6/wCKvh7oes6zOAst7cW+JJMDA3FSNxxxk88V4p8Wv2J/gbot1p62Hwz0O1V0YuI4W55/3qAPzp0//gqX8VNN1C2u4/D/AIPaS3lWVQ1ndYJUgjP+k9OK7j/h9V8a/wDoVPAP/gBe/wDyXX1f4d/Y++DN14g0uCX4d6LJFJdRI6mI4KlwCOte9f8ADA37PX/RJvD3/flv/iqAPyv8T/8ABWb4teK79Lu78N+C4pFQIBDZXYGPxuj61X0H/gqz8V/DurQahbeHPBsksO7astndlTlSpzi5HY1+gPxT/Yv+CGi+IIYbL4a6HbRGAMVSFsZyeetZvw//AGN/gnqni7T7W6+G+iT28nmbo2ibBxGxHf1AoA+P/wDh9V8a/wDoVPAP/gBe/wDyXXJeIv8Agq98WPE2qSX9z4c8GxyuFUrDZ3YXgY73Jr9Vv+GBv2ev+iTeHv8Avy3/AMVXjnxI/Y0+Cek+K7i2s/hvokECohEaxNgZUZ70AfCXhj/grL8WvCeoPeWnhvwXLK0ZiKzWV2VwSD2uhzwK6f8A4fVfGv8A6FTwD/4AXv8A8l19o/Cv9i/4Ia14imgvfhrodzEtszhHhbGdyDPX3P516x/wwN+z1/0Sbw9/35b/AOKoA/KLVv8Agqj8VdY1K4vZfDvg5JJ3LssdndhQT6Zua0/Cf/BXL4u+D2uWtPDXgmX7QFD+fZXhxtzjGLoetfa/jD9jv4L2HifUreD4c6LFDHMyoixHAHp1rqvhD+xP8DNcl1QX/wAM9DuhGsRTzIW+XO7P8XsKAPSv2K/2lbn9qv4H2njW+0RdC1OO7l068toWZoHljCkyRFudjBxwclSGXLYyffaxfCfhPRvAvh+z0Lw/pdrouj2SbLexsohFFECSThRxySST1JJJ5NbV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In/AAU4/wCTe9J/7GK2/wDSe4r8uq/UX/gpx/yb3pP/AGMVt/6T3Ffl1QAUUUUAFFFFABX6sf8ABNv/AJNuj/7C91/JK/Kev1Y/4Jt/8m3R/wDYXuv5JQB9UUUUUAFFFFABSMobqM0tFADPLX+6Pyo8tf7o/Kn0UAM8tf7o/KgKqnIAB+lPooAKKKKACiiigBnlr/dH5UeWv90flT6KAG7R6D8qdRRQAUUUUAFeR/HD/j80z/rm3869cryP44f8fmmf9c2/nQBwnhX/AJGjSP8Ar8h/9DFfS9fNHhX/AJGjSP8Ar8h/9DFfS9AHiXxo/wCRng/691/may/hd/yPWmf9tP8A0U9anxo/5GeD/r3X+ZrL+F3/ACPWmf8AbT/0U9AH0DXgvxa/5HW6/wCucf8A6CK96rwX4tf8jrdf9c4//QRQBd+C/wDyNdx/15v/AOhpXtteJfBf/ka7j/rzf/0NK9toA+cvHX/I4at/18N/Ouz+Bv8ArtZ/3Yf5vXGeOv8AkcNW/wCvhv512fwN/wBdrP8Auw/zegD1q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kT/AIKcf8m96T/2MVt/6T3Ffl1X6i/8FOP+Te9J/wCxitv/AEnuK/LqgAooooAKKKDgdTildLcAr9WP+Cbf/Jt0f/YXuv5JX5Tbs9Dmv1Z/4Jt/8m3R/wDYXuv5JTA+qKKKKACiiigAooooAKKKKACiiigAooooAKKKKACiiigAooooAKKKKACvI/jh/wAfmmf9c2/nXrleR/HD/j80z/rm386AOE8K/wDI0aR/1+Q/+hivpevmjwr/AMjRpH/X5D/6GK+l6APEvjR/yM8H/Xuv8zWX8Lv+R60z/tp/6KetT40f8jPB/wBe6/zNZfwu/wCR60z/ALaf+inoA+ga8F+LX/I63X/XOP8A9BFe9V4L8Wv+R1uv+ucf/oIoAu/Bf/ka7j/rzf8A9DSvba8S+C//ACNdx/15v/6Gle20AfOXjr/kcNW/6+G/nXZ/A3/Xaz/uw/zeuM8df8jhq3/Xw3867P4G/wCu1n/dh/m9AHrV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In/BTj/k3vSf+xitv/Se4r8uq/UX/gpx/wAm96T/ANjFbf8ApPcV+XVABRRRQB7F+yj8IbH4zfF620nVjnRrG2k1K9hDFWnjQqojBHTc8iAn+7uxg4r9QbXR9OsdGXRrfT7ODSFhNsunpAgtxERgoY8bSpBIII55r8nfgR8XLv4J/ErTfE1vE1zbIrW99Zq237RbuMOufUcMO25FzxX6A2n7aHwduNLS8fxXJbymLzDYyafcmdWxny+Iyhbtndj3r8B8SMv4jxmIoPKObkS1UXbW+78j1MJOjFP2m58hftr/AAe0n4U/EyzuNAs/sOja7am8W2TAigmEjLJHGB0X7rAdBuwOBx9pf8E3P+TbY/8AsL3X8kr4D/aa+Ny/Hb4jf2taW0lno9jALHT4pv8AWGIMzF3A4DMzE45wMDJxX35/wTc/5Ntj/wCwvdfySv2XJ4Ymnl9GGNd6iir+tjz6lud8ux9U0UUV7JmFFFFABRRRQAUUUUAFFFFABRRRQAUUUUAFFFFABRRRQAUjHC0tFAH5hftGf8FcPE3wl+NnizwZ4f8AA2l3mnaFeNY/atUkmSaWROHbaMAKWzt9Rg55rw/xd/wV68c+MJreS48C+H4DCpUCOec5yfdq/U/x9+yd8IPij4il1/xX8PdE1vWrgKs19cW/72QAYG4jG4gYGTzgV4p8Wv2KvgdodxYLYfDXQ7VXRi3lwnnn60AfAem/8FVfGem6ha3aeCtDd7eVJQrTTYJUg4PPtXff8PuPiF/0Tzwz/wCBFx/8VX0d4d/Y/wDgzdeINLhl+HeiyRSXUSOpiOCpcAjrXvX/AAwP+z3/ANEo8Pf9+G/+KoA/MvxV/wAFcPG/izUEu5/Avh+F1QJtjnnxgZ55b3qt4d/4Kx+NfDesW+oQ+CdBlkh3YR5psHKleze9fc3xU/Yv+COi6/DDZfDbQ7aIwBiqQnGcnnrWb8P/ANjf4K6p4u0+1uvhxos9vIZN0bQnBxGxHf1AoA+YP+H3HxC/6J54Z/8AAi4/+KrjfEv/AAVp8beJtWkv5vBGgRSOqqVSafHAx3av05/4YH/Z8/6JR4f/AO/Df/FV478R/wBjT4KaT4quLaz+HGiW8CohEaxHAyoJ70AfF3hP/grf438J6k97B4G8Pzu0RiKyTT4wSDng/wCzXWf8PuPiF/0Tzwz/AN/7j/4qvrD4VfsYfBHWvEU8F98NtDuYhas4R4TjO5Bnr7mvWP8AhgX9nv8A6JR4e/78N/8AFUAfl5rH/BVvxprGqXN7J4J0GN53MhVZpsDPpzWv4P8A+Cvnjnwc121v4E8PT/aAoPmTzjG3PTDe9fXXjD9jv4L2PibUre3+HWixQxzMqIsRwB6da6r4R/sT/AzXJtUF/wDDTQ7ryhHsEkLcZ3Z7+woA779h39qC8/ay+DMvi7UdFi0LUrTUptOuILWRnhcqqOroW5HyyKCCTypPfA+ia5vwN4B8OfDTw7baB4U0Ox8PaLbljFY6fCsUSljljgdyeSep710l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If/AAU3/wCTe9J/7GK2/wDSe4r8u6/UT/gpv/yb5pX/AGMVt/6T3FfnZ8LvDuk69rd9da60jaNo9hJqV1bxuUe62siRwqwU7d8skSlscKWPUColJQi5S2R0YejUxNWNGkryk0kvN7HHUV63/wALe1eOOS0ttN0G10dnD/2Sui2r2/HAB3RlmOP4ixb3rnfijo+lW8uja1otqun2OtWhuTp6OzpayrI0ciKW527l3KDnAbGTjNeVg8zo42bhTumu597xHwNmfDOGp4rFtOM+zvZ72Zw1HvXffBTwNZ+OPF1wNVDNomk2Muq38aPseaOPaqxKfV5XiQnsHJ7V7LD4yks7f7La6J4ft9L3K/8AZ39i2rwttAA3b4yznA+8zFveu+tiIUWlI/EM44jwmSzhTrpty7du58uV+q//AATb/wCTbo/+wvdfySvzy+N3gnT/AA3qGi6vo9rJZ6Trlq1wtsclLedJGjljRiSSoKqwzyA4HOM1+hv/AATd/wCTbo/+wvdfySuhSUldH0WHr08VRjXpO8ZK6PqmiiimdAUUUUAFFFFABRRRQAUUUUAFFFFABRRRQAUUUUAFFFFABRRRQAVlat4Z03XZI3vrVbhoxhd2eK1aKAOdt/AehWlxFPDp0ccsTh0YE8MDkHrXRUUUAY2reE9J1y4We+s0uJVXaGbPT0qPT/BWi6TeR3dpYRw3Eedsi5yMgg/oTW7RQAVh6l4N0bWLxrq8sY552ABds5OOBW5RQBi6T4T0nQ7hrixs0t5mXYWUnO0kHH6CtqiigDn7zwLoeoXUtzcafHJNK252JPJ9etW9H8N6b4faU2FqtuZcb9uecZx/M1q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If/BTf/k3zSv+xitv/Se4r86Phr4usfCeuXY1azN7ouqWb6dfJGP3qRMyuJYskDejxo4B4O3B65r9Yv2vPglffHr4N3mg6XMI9ZtLmPULFJHCxyyoGUxucHgo7gdMNtJ4zX5qzfsc/Ge3meNvAGpllODsaJl/Ah8GplFSTjLZm1CtPD1I1abtKLTT80Rt8MdPl23lt488KvoLIZfts+oCOdFH8LWhH2jf/srG2exI5rj/AIk+JNM1i70zTdE8yTRtHtvstvczxiOS5YuzySsuTty7HAzkKBnnNdj/AMMf/GX/AKJ9qv5R/wDxVH/DIHxk/wCif6r+Uf8A8VXnYTLqGDm501qz7XP+NM24joQw2NmuSGuitd92cl8I/iEvw68VSXdzbtdaTf2kunajbpje9vIBkoSOHVlR1/2kHbNe2tovh64tjqNl4+8LnRijTC5ur8RXCKCfla0I8/f0+VUYHPBPWvP/APhj/wCMn/RP9V/KP/4qj/hj/wCMv/RPtV/KP/4quurh4VrOXQ/Hs14fwWcyhPEJ3j1Ttp2Oe+M3jjT/ABbrdhY6I8sug6LbGztZ5Qym5JdnknKE/LvZjgddoUHkV+i3/BN3/k26P/sL3X8kr4Nh/Y5+M80ixp8P9S3McDe0Sj8y4A/E1+mX7JHwb1P4H/BnTvDuszxS6q08t3cpCdyRM5HyBv4sBRz6k1vFKKsj36NGGHpRo0laMVZHtNFFFM3CiiigAooooAKKKKACiiigAooooAKKKKACiiigAooooAKKKKACiiigAooooAKKKKACiiigAooooAKKKKACiiigAooooAKKKKACiiigAooooAKKKKAP/9k=">
          <a:extLst>
            <a:ext uri="{FF2B5EF4-FFF2-40B4-BE49-F238E27FC236}">
              <a16:creationId xmlns:a16="http://schemas.microsoft.com/office/drawing/2014/main" id="{00000000-0008-0000-0200-000001040000}"/>
            </a:ext>
          </a:extLst>
        </xdr:cNvPr>
        <xdr:cNvSpPr>
          <a:spLocks noChangeAspect="1" noChangeArrowheads="1"/>
        </xdr:cNvSpPr>
      </xdr:nvSpPr>
      <xdr:spPr bwMode="auto">
        <a:xfrm>
          <a:off x="1447800" y="97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11</xdr:row>
      <xdr:rowOff>0</xdr:rowOff>
    </xdr:from>
    <xdr:to>
      <xdr:col>2</xdr:col>
      <xdr:colOff>304800</xdr:colOff>
      <xdr:row>12</xdr:row>
      <xdr:rowOff>142875</xdr:rowOff>
    </xdr:to>
    <xdr:sp macro="" textlink="">
      <xdr:nvSpPr>
        <xdr:cNvPr id="1026" name="AutoShape 2" descr="data:image/jpeg;base64,/9j/4AAQSkZJRgABAQEA3ADcAAD/2wBDAAMCAgMCAgMDAwMEAwMEBQgFBQQEBQoHBwYIDAoMDAsKCwsNDhIQDQ4RDgsLEBYQERMUFRUVDA8XGBYUGBIUFRT/2wBDAQMEBAUEBQkFBQkUDQsNFBQUFBQUFBQUFBQUFBQUFBQUFBQUFBQUFBQUFBQUFBQUFBQUFBQUFBQUFBQUFBQUFBT/wAARCAZABM8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KACk/nS0UAecfGqR4/DtoFdkDXShgpxkbHOD+VVoPgrp0sSMb+8G4Z6p/wDE1P8AHD/kXrL/AK+1/wDQHr0Cz/49Yj/sivzOWU4LNc8xKxlNT5Yxtfpc9uOKrYfCQ9lK127/AIHn/wDwpHTf+ghefmn/AMTR/wAKP0z/AJ/7z80/+Jr0fbRj3r2f9T8j/wCgZfj/AJmH9qYz/n6zzj/hR+mf8/8Aefmn/wATR/wo/TP+f+8/NP8A4mvR8e9GPej/AFPyP/oGX4/5j/tTGf8AP1nnH/Cj9M/5/wC8/NP/AImj/hR+mf8AP/efmn/xNej496Me9H+p+R/9Ay/H/MP7Uxn/AD9Z5x/wo/TP+f8AvPzT/wCJo/4Ufpn/AD/3n5p/8TXo+PejHvR/qfkf/QMvx/zD+1MZ/wA/Wecf8KP0z/n/ALz80/8AiaP+FH6Z/wA/95+af/E16Pj3ox70f6n5H/0DL8f8w/tTGf8AP1nnH/Cj9M/5/wC8/NP/AImj/hR+mf8AP/efmn/xNej496Me9H+p+R/9Ay/H/MP7Uxn/AD9Z5x/wo/TP+f8AvPzT/wCJo/4Ufpn/AD/3n5p/8TXo+PejHvR/qfkf/QMvx/zD+1MZ/wA/Wecf8KP0z/n/ALz80/8AiaP+FH6Z/wA/95+af/E16Pj3ox70f6n5H/0DL8f8w/tTGf8AP1nnH/Cj9M/5/wC8/NP/AImj/hR+mf8AP/efmn/xNej7aMe9H+p+R/8AQMvx/wAw/tTGf8/Wecf8KP0z/n/vPzT/AOJo/wCFH6Z/z/3n5p/8TXo+PejbR/qfkf8A0DL8f8w/tTGf8/Wecf8ACj9M/wCf+8/NP/iaP+FH6Z/z/wB5+af/ABNej496Me9H+p+R/wDQMvx/zD+1MZ/z9Z5x/wAKP0z/AJ/7z80/+Jo/4Ufpn/P/AHn5p/8AE16Pj3ox70f6n5H/ANAy/H/MP7Uxn/P1nnH/AAo/TP8An/vPzT/4mj/hR+mf8/8Aefmn/wATXo+PejHvR/qfkf8A0DL8f8w/tTGf8/Web/8ACj9M/wCf+8/NP/iaP+FH6b/z/wB5+af/ABNekfjWLeeMNB025e2u9ZsLa4T70M1yiOvGeQTkcVMuEchjrLDpfN/5i/tTGf8AP1nI/wDCj9N/6CF5+af/ABNH/Cj9N/6CF5+af/E11H/Cf+GP+hh0v/wMj/xo/wCE/wDDH/Qw6X/4GR/41H+qvD//AD4j97/zD+1MZ/z9Zy//AAo/Tf8AoIXn5p/8TR/wo/Tf+ghefmn/AMTXUf8ACf8Ahj/oYdL/APAyP/Gj/hP/AAx/0MOl/wDgZH/jR/qrw/8A8+I/e/8AMP7Uxn/P1nL/APCj9N/6CF5+af8AxNH/AAo/Tf8AoIXn5p/8TXUf8J/4Y/6GHS//AAMj/wAaP+E/8Mf9DDpf/gZH/jR/qrw//wA+I/e/8w/tTGf8/Wcv/wAKP03/AKCF5+af/E0f8KP03/oIXn5p/wDE11H/AAn/AIY/6GHS/wDwMj/xo/4T/wAMf9DDpf8A4GR/40f6q8P/APPiP3v/ADD+1MZ/z9Zy/wDwo/Tf+ghefmn/AMTR/wAKP03/AKCF5+af/E11H/Cf+GP+hh0v/wADI/8AGj/hP/DH/QxaX/4GR/40f6q8P/8APiP3v/MP7Uxn/P1nK/8ACkdO/wCf+7/NP/ia5nx78O7Twno8V3b3U8zvMsRWQrjBBPYD0r1D/hPvDX/Qw6X/AOBkf/xVcF8YvGXh+68N26wa5p0zC5U7Y7qNj91vQ189n3DeS4fLK1TD0UppXVm7/mdmDzLFTxEFOpo3qXNO+DWm3ljBO1/dgyRq5AKY5Gf7tWf+FIaZ/wBBC8/NP/ia29F8eeGo9Ks1bxBpYYQoCPtkefuj3q9/wn3hn/oYdL/8DI//AIqvXwvC2QyoU3OjG9l1f+ZzzzTGKTtUZy3/AAo/Tf8AoIXn5p/8TR/wo/Tf+ghefmn/AMTXUf8ACf8Ahj/oYdL/APAyP/Gj/hP/AAx/0MOl/wDgZH/jXV/qrw//AM+I/e/8zP8AtTGf8/Wcv/wo/Tf+ghefmn/xNH/Cj9N/6CF5+af/ABNdR/wn/hj/AKGHS/8AwMj/AMaP+E/8Mf8AQw6X/wCBkf8AjR/qrw//AM+I/e/8w/tTGf8AP1nL/wDCj9N/6CF5+af/ABNH/Cj9N/6CF5+af/E11H/Cf+GP+hh0v/wMj/xo/wCE/wDDH/Qw6X/4GR/40f6q8P8A/PiP3v8AzD+1MZ/z9Zy//Cj9N/6CF5+af/E0f8KP03/oIXn5p/8AE11H/Cf+GP8AoYdL/wDAyP8Axo/4T/wx/wBDDpf/AIGR/wCNH+qvD/8Az4j97/zD+1MZ/wA/Wcv/AMKP03/oIXn5p/8AE0f8KP03/oIXn5p/8TXUf8J/4Y/6GHS//AyP/Gj/AIT/AMMf9DDpf/gZH/jR/qrw/wD8+I/e/wDMP7Uxn/P1nL/8KP03/oIXn5p/8TR/wo/Tf+ghefmn/wATXUf8J/4Y/wChh0v/AMDI/wDGj/hP/DH/AEMOl/8AgZH/AI0f6q8P/wDPiP3v/MP7Uxn/AD9Zy/8Awo/Tf+ghefmn/wATR/wo/Tf+ghefmn/xNdR/wn/hj/oYdL/8DI/8aP8AhP8Awx/0MOl/+Bkf+NH+qvD/APz4j97/AMw/tTGf8/Wcv/wo/Tf+ghefmn/xNH/Cj9N/6CF5+af/ABNdR/wn/hj/AKGHS/8AwMj/AMaP+E/8Mf8AQw6X/wCBkf8AjR/qrw//AM+I/e/8w/tTGf8AP1nL/wDCj9N/6CF5+af/ABNH/Cj9N/6CF5+af/E11H/Cf+GP+hh0v/wMj/xo/wCE/wDDH/Qw6X/4GR/40f6q8P8A/PiP3v8AzD+1MZ/z9Zy//Cj9N/6CF5+af/E0f8KP03/oIXn5p/8AE11H/Cf+GP8AoYdL/wDAyP8Axo/4T/wx/wBDDpf/AIGR/wCNH+qvD/8Az4j97/zD+1MZ/wA/Wcv/AMKP03/oIXn5p/8AE0f8KP03/oIXn5p/8TXUf8J/4Y/6GHS//AyP/Gj/AIT/AMMf9DDpf/gZH/jR/qrw/wD8+I/e/wDMP7Uxn/P1nL/8KP03/oIXn5p/8TR/wo/Tf+ghefmn/wATXUf8J/4Y/wChh0v/AMDI/wDGj/hP/DH/AEMOl/8AgZH/AI0f6q8P/wDPiP3v/MP7Uxn/AD9Zy/8Awo/Tf+ghefmn/wATR/wo/Tf+ghefmn/xNdR/wn/hj/oYdL/8DI/8aP8AhP8Awx/0MOl/+Bkf+NH+qvD/APz4j97/AMw/tTGf8/Wcv/wo/Tf+ghefmn/xNH/Cj9N/6CF5+af/ABNdR/wsDw1/0MGl/wDgZH/jR/wsDwz/ANDDpn/gZH/jS/1V4f8A+fMfvf8AmH9qYz/n6zl/+FH6b/0ELz80/wDiaP8AhR+m/wDQQvPzT/4muo/4T/wx/wBDDpf/AIGR/wCNH/Cf+GP+hh0v/wADI/8AGn/qrw//AM+I/e/8w/tTGf8AP1nL/wDCj9N/6CF5+af/ABNH/Cj9N/6CF5+af/E11H/Cf+GP+hh0v/wMj/xo/wCE/wDDH/Qw6X/4GR/40f6q8P8A/PiP3v8AzD+1MZ/z9Zy//Cj9N/6CF5+af/E0f8KP03/oIXn5p/8AE11H/Cf+GP8AoYdL/wDAyP8Axo/4T/wx/wBDDpf/AIGR/wCNH+qvD/8Az4j97/zD+1MZ/wA/Wcv/AMKP03/oIXn5p/8AE0f8KP03/oIXn5p/8TXUf8J/4Y/6GHS//AyP/Gj/AIT/AMMf9DDpf/gZH/jR/qrw/wD8+I/e/wDMP7Uxn/P1nL/8KP03/n/vPzT/AOJpD8D9NC/8f95+af8AxNdT/wAJ/wCGf+hh0v8A8DI/8aP+E+8M/wDQw6X/AOBkf/xVS+FeH7aUY/f/AMEf9qYz/n4zyXQfAtrq3jDUtIkuJ0htVYpIpG44YDnI967H/hSOm/8AP/efmn/xNc74P8YaFD8TNdmk1rT0iZHAka6QKfnXvmvS/wDhYHhn/oYdL/8AAyP/ABr5fhzhzKMRhZyxVJOSnNat7JtLr2O/HZjiIVV7OppZffZXOX/4Ufpv/QQvPzT/AOJo/wCFH6b/ANBC8/NP/ia6j/hP/DH/AEMWl/8AgZH/AI0f8J/4Y/6GHS//AAMj/wAa+p/1V4f/AOfEfvf+Z5/9qYz/AJ+s5f8A4Ufpv/QQvPzT/wCJo/4Ufpv/AEELz80/+JrqP+E/8Mf9DDpf/gZH/jR/wn/hj/oYdL/8DI/8af8Aqrw//wA+I/e/8w/tTGf8/Wcv/wAKP03/AKCF5+af/E0f8KP03/oIXn5p/wDE11H/AAn/AIY/6GHS/wDwMj/xo/4T/wAMf9DDpf8A4GR/40f6q8P/APPiP3v/ADD+1MZ/z9Zy/wDwo/Tf+ghefmn/AMTR/wAKP03/AKCF5+af/E11H/Cf+GP+hh0v/wADI/8AGj/hP/DH/Qw6X/4GR/40f6q8P/8APiP3v/MP7Uxn/P1nL/8ACj9N/wCghefmn/xNH/Cj9N/6CF5+af8AxNdR/wAJ/wCGP+hh0v8A8DI/8aP+E/8ADH/Qw6X/AOBkf+NH+qvD/wDz4j97/wAw/tTGf8/Wcv8A8KP03/oIXn5p/wDE0f8ACj9N/wCghefmn/xNdR/wn/hj/oYdL/8AAyP/ABo/4T/wx/0MOl/+Bkf+NH+qvD//AD4j97/zD+1MZ/z9Zy//AAo/Tf8AoIXn5p/8TR/wo/Tf+ghefmn/AMTXUf8ACf8Ahj/oYdL/APAyP/Gj/hP/AAx/0MOl/wDgZH/jR/qrw/8A8+I/e/8AMP7Uxn/P1nL/APCj9N/6CF5+af8AxNH/AAo/Tf8AoIXn5p/8TXUf8J/4Y/6GHS//AAMj/wAaP+E/8Mf9DDpf/gZH/jR/qrw//wA+I/e/8w/tTGf8/Wcv/wAKP03/AKCF5+af/E0f8KP03/oIXn5p/wDE11H/AAn/AIY/6GHS/wDwMj/xo/4T/wAMf9DDpf8A4GR/40f6q8P/APPiP3v/ADD+1MZ/z9Zy/wDwo/Tf+ghefmn/AMTR/wAKP03/AKCF5+af/E11H/Cf+GP+hh0v/wADI/8AGj/hP/DH/Qw6X/4GR/40f6q8P/8APiP3v/MP7Uxn/P1nL/8ACj9N/wCghefmn/xNH/Cj9N/6CF5+af8AxNdR/wAJ/wCGP+hh0v8A8DI/8aP+E/8ADH/Qw6X/AOBkf+NH+qvD/wDz4j97/wAw/tTGf8/Wcv8A8KP03/oIXn5p/wDE0f8ACj9N/wCghefmn/xNdR/wn/hj/oYdL/8AAyP/ABo/4T/wx/0MOl/+Bkf+NH+qvD//AD4j97/zD+1MZ/z9Zy//AAo/Tf8AoIXn5p/8TR/wo/Tf+ghefmn/AMTXUf8ACwPDP/Qw6Z/4GR/40f8ACwPDP/Qw6Z/4GR/40f6q8P8A/PiP3v8AzD+1MZ/z9Zy//Cj9N/6CF5+af/E0f8KP03/oIXn5p/8AE11H/CfeGf8AoYdL/wDAyP8A+Kpf+E/8Mf8AQw6X/wCBkf8AjS/1V4f/AOfMfvf+Yf2pjP8An6zlv+FH6b/0ELz80/8AiaP+FH6b/wBBC8/NP/ia6j/hP/DH/Qw6X/4GR/40f8J/4Y/6GHS//AyP/Gn/AKq8P/8APiP3v/MP7Uxn/P1nL/8ACj9N/wCghefmn/xNH/Cj9N/6CF5+af8AxNdR/wAJ/wCGP+hh0v8A8DI/8aP+E/8ADH/Qw6X/AOBkf+NH+qvD/wDz4j97/wAw/tTGf8/Wcv8A8KP03/oIXn5p/wDE0f8ACj9N/wCghefmn/xNdR/wn/hj/oYdL/8AAyP/ABo/4T/wx/0MOl/+Bkf+NH+qvD//AD4j97/zD+1MZ/z9Zy//AAo/Tf8AoIXn5p/8TR/wo/Tf+ghefmn/AMTXUf8ACf8Ahj/oYdL/APAyP/Gj/hP/AAx/0MOl/wDgZH/jR/qrw/8A8+I/e/8AMP7Uxn/P1nL/APCj9N/6CF5+af8AxNH/AAo/Tf8AoIXn5p/8TXUf8J/4Y/6GHS//AAMj/wAaP+E/8Mf9DDpf/gZH/jR/qrw//wA+I/e/8w/tTGf8/Wcv/wAKP03/AKCF5+af/E0f8KP03/oIXn5p/wDE11H/AAn/AIY/6GHS/wDwMj/xo/4T/wAMf9DDpf8A4GR/40f6q8P/APPiP3v/ADD+1MZ/z9Zy/wDwo/Tf+ghefmn/AMTR/wAKP03/AKCF5+af/E11H/Cf+GP+hh0v/wADI/8AGj/hP/DH/Qw6X/4GR/40f6q8P/8APiP3v/MP7Uxn/P1nL/8ACj9N/wCghefmn/xNH/Cj9N/6CF5+af8AxNdR/wAJ/wCGP+hh0v8A8DI/8aX/AIT/AMMf9DDpf/gZH/jS/wBVeH/+fMfvf+Yf2pjP+frOW/4Ufpv/AEELz80/+Jo/4Ufpv/QQvPzT/wCJrqf+E+8M/wDQw6X/AOBkf+NJ/wAJ/wCGP+hh0v8A8DI/8aP9VeH/APnxH73/AJh/amM/5+s5f/hR+m/9BC8/NP8A4mj/AIUfpv8A0ELz80/+JrqP+E/8Mf8AQw6X/wCBkf8AjR/wn/hj/oYdL/8AAyP/ABp/6q8P/wDPmP3v/MP7Uxn/AD9Z554x+Flj4e8P3WoQ3lzJJCFIWQrg5YDsPep/Dnwl0/WdFs72W9u0eaIOVUrjn/gNa/xC8XaHqnhO+t7TWbC6uJAu2KG5R2b5geADk8Va8G+M9AsPDOnwXGt6fbzRxKrxyXSKyn0IJ4r5OHD2TPPpYd0o8ipp2u7Xva+/Y9J5hi/qan7R35rfKxS/4Ufpv/QQvPzT/wCJo/4Ufpv/AEELz80/+Jrqf+E+8M/9DDpf/gZH/wDFUn/Cf+GP+hh0v/wMj/xr6z/VXh//AJ8R+9/5nm/2pjP+frOX/wCFH6b/ANBC8/NP/iaP+FH6b/0ELz80/wDia6j/AIWB4Z/6GHTP/AyP/Gj/AIWB4Z/6GHTP/AyP/Gj/AFV4f/58x+9/5h/amM/5+s5f/hR+m/8AP/efmn/xNH/Cj9M/5/7z80/+JrrrHxhoWo3KW1prWn3Vw/3IobpHdu/AByeK2veqjwlkMvhw8X83/mP+1MZ/z9Z414Z0YeF/immnwTSPEsRyZDy2Uzzj3r2THevLWyfjV/2z/wDadepVz8I0YYeliaNNWjGpJJdloPMJyqSpzk7txVx9FFFffHkhRRRQAUUUUAFFFFABRRRQAUUUUAeb/G7/AJF6y/6+1/8AQHr0Cx/494v9wV5/8bv+Resv+vtf/QHr0Cx/494v9wV8VgP+R7i/8MD0qv8AulP1f6FiiiivtTzQopu6l3UALRSbqTdQA6im7vejdQA6im7qN1ADqKbuo3UCuh1FN3UbqBjqKbuo3e1ADqKbuo3UCuOopu6jdQMdRTd1LuoAWik3UbhQAtFFFADWr4mHwl0P4xftdfELSNfa6Fpb2wukFrKI2LgW6jJIPGHNfbPrXyv8Kf8Ak+D4kf8AYLb/ANCs68jGRjOpSjJXTYjoP+GE/hr66x/4GL/8RR/wwr8NfXWf/Awf/EV9FUV0/UsP/Ihnzr/wwr8Nv72tf+Bi/wDxFH/DCvw0/va1/wCBg/8AiK+iqaWC9TT+pYf+RC0Pnf8A4YV+Gn97Wv8AwMH/AMRR/wAMK/DT+9rX/gYP/iK+ifxo3D1o+pYf+RBofO3/AAwr8NP72tf+Bg/+Io/4YV+Gn97Wv/Awf/EV9Eg5paPqWH/kQaHzr/wwr8NP72tf+Bg/+Io/4YV+Gn97Wv8AwMH/AMRX0VRR9Sw/8iA+dP8AhhX4bZ+9rWP+vxf/AIiuT+I/7HfgDwvosNzZHVfNadYz5l2CMEMf7vtX1rXnnxq/5Fm2/wCvlf8A0Fq+Z4jw9OhlVerTjaUVdNbndgYRniYRktGzzHTf2Hfhvd6fbTOdY3yRqzf6YvUgH+5Vn/hhX4a+us/+Bi//ABFe86D/AMgey/64p/6CKvivawmEoSoQk4q9l+Ry1EuZnzv/AMMK/DX11n/wMX/4ij/hhX4af3ta/wDAwf8AxFfRVJuFdn1LD/yIz0Pnb/hhX4bf3ta/8DF/+Io/4YV+Gn97Wv8AwMH/AMRX0TketGR60vqWH/kQaHzt/wAMK/DT+9rX/gYP/iKP+GFfhr661/4GL/8AEV9E5FG4U/qWH/kQaHzt/wAMK/DT+9rX/gYP/iKP+GFfht/e1r/wMX/4ivojPvS7qX1LD/yIND52/wCGFfhp/e1r/wADB/8AEUf8MK/DT+9rX/gYP/iK+ic/SjtT+pYf+RBofO3/AAwr8NP72tf+Bg/+Io/4YV+Gn97Wv/Awf/EV9E5FH40fUsP/ACIND52/4YV+G397Wv8AwMX/AOIo/wCGFfhp/e1r/wADB/8AEV9Ee9LuHrS+pYf+RBofO3/DCvw19da/8DF/+Io/4YV+GvrrX/gYv/xFfRO4etH40fUsP/Ig0Pnb/hhX4af3ta/8DB/8RR/wwr8Nv72tf+Bi/wDxFfROaM0fUsP/ACIND52/4YV+GvrrX/gYv/xFH/DCvw2/va1/4GL/APEV9E5HrRkU/qWH/kQaHzt/wwr8NP72tf8AgYP/AIij/hhX4bf3ta/8DF/+Ir6JyPWjI9aPqWH/AJEGh87f8MK/DT+9rX/gYP8A4ij/AIYV+GvrrX/gYv8A8RX0Tmlo+pYf+RBofOv/AAwr8NfXWv8AwMX/AOIo/wCGFfhr661/4GL/APEV9FUUfUsP/IgsfAvxr/Z38K+Afir8OPDumG+/s/Xr2OC88+cO+0zxRnYdowcOfXtXuH/DCvw2/vax/wCBi/8AxFc9+1Hz+0F8FP8AsJw/+lcFfVK152HwlGVWonFWTVvuCyPnf/hhX4af3ta/8DB/8RR/wwr8NP72tf8AgYP/AIivoqivR+pYf+RBY+df+GFfhp/e1r/wMH/xFH/DCvw2/va1/wCBi/8AxFfRO7HWjcPWj6lh/wCRBofO3/DCvw0/va1/4GD/AOIo/wCGFfhr661/4GL/APEV9E5FLR9Sw/8AIg0PnX/hhX4af3ta/wDAwf8AxFH/AAwr8NP72tf+Bg/+Ir6Koo+pYf8AkQWPnX/hhX4bf3ta/wDAxf8A4ik/4YW+GvrrP/gYv/xFfRdI33TUvB4e3wIdkfH/AId/ZF8Cat421XS5m1QWtsrGPZdANwwAydvPBNdt/wAMK/DX11j/AMDB/wDEV2/gv/kqWvf7r/8AoS16kOa+Q4Yo08Rg5yqq7U5rXsm0kelmFOMKsVFWXLH8j53/AOGFfht/e1r/AMDF/wDiKP8AhhX4af3ta/8AAwf/ABFfRVFfYfUsP/IjzLHzr/wwr8NP72tf+Bg/+Io/4YV+Gn97Wv8AwMH/AMRX0TkUbh60/qWH/kQaHzt/wwr8NP72tf8AgYP/AIij/hhX4af3ta/8DB/8RX0TketGaPqWH/kQaHzt/wAMK/DT+9rX/gYP/iKP+GFfhp/e1r/wMH/xFfROR60ZHrS+pYf+RBofO3/DCvw0/va1/wCBg/8AiKP+GFfhp/e1r/wMH/xFfROR60bh60fUsP8AyIND52/4YV+G397Wv/Axf/iKP+GFfhp/e1r/AMDB/wDEV9E5o/Gj6lh/5EGh87f8MK/Db+9rX/gYv/xFH/DCvw0/va1/4GD/AOIr6JyPWjNP6lh/5EGh87f8MK/DT+9rX/gYP/iKP+GFfhr661/4GL/8RX0TuHrRuHrR9Sw/8iDQ+dv+GFfhp/e1r/wMH/xFH/DCvw2/va1/4GL/APEV9E5ozR9Sw/8AIg0Pnb/hhX4af3ta/wDAwf8AxFH/AAwr8NP72tf+Bg/+Ir6J/GjIpfUsP/Ig0Pnb/hhX4af3ta/8DB/8RR/wwr8NP72tf+Bg/wDiK+icj1o3D1p/UsP/ACIND52/4YV+Gn97Wv8AwMH/AMRR/wAMK/DT+9rX/gYP/iK+idw9aWl9Sw/8iDQ+df8AhhX4af3ta/8AAwf/ABFL/wAMJ/DX+9rP/gYv/wARX0TRR9Sw/wDIgsfKXxF/Yz+H3hX4feJtZsjq32zT9MubuHzLsMu+OJnXI2cjIFc3+z7+yj4J+JXwp0jxBrLal/aF0ZfM+z3IRPlkZRgbT2Ar6c+NP/JH/HH/AGA77/0Q9cR+x3/yQHw7/vXH/o5q8+WEofWlHlVrfqFlcwf+GFfhp66z/wCBg/8AiKP+GFfht/e1r/wMX/4ivoqivR+pYf8AkQWPnX/hhX4a+utf+Bi//EUf8MK/Db+9rX/gYv8A8RX0VSZFH1LD/wAiDQ+dv+GFfhp/e1r/AMDB/wDEUf8ADCvw0/va1/4GD/4ivoncPWlo+pYf+RBofOv/AAwr8NfXWv8AwMX/AOIo/wCGFfhp/e1r/wADB/8AEV9FUUfUsP8AyILHzr/wwr8Nv72tf+Bi/wDxFH/DCvw0/va1/wCBg/8AiK+iqKPqWH/kQWPnX/hhX4af3ta/8DB/8RR/wwr8NP72tf8AgYP/AIivoqij6lh/5EFj51/4YV+Gn97Wv/Awf/EUf8MK/Db+9rX/AIGL/wDEV9FUUfUsP/IgsfOv/DCvw09dY/8AAxf/AIivDPjN+zz4U8B/GD4eeGtM+3f2drtzFFd+dOGfa06odp2jBwTX35Xyj+01/wAnJfBr/r+t/wD0qSvOx2EoxpXjFLVfmDtY6X/hhT4bf3tY/wDAxf8A4ik/4YU+GvrrP/gYv/xFfRXalrvWDw+/IgPnX/hhX4bf3ta/8DF/+Io/4YV+Gn97Wv8AwMH/AMRX0VRVfUsP/IgPmrUv2T/A3w3tX8QaR/aR1CzwYvtFyGT5jtORtGeCadYfse+AvGdrHreoHVBe3w86byrsKu49cDacCvZPil/yJOo/Rf8A0NaueAv+RS0v/ritfFQwlH/WSUeVW9kv/Sj1X/uC/wAX6HjH/DCvw2/vax/4GL/8RR/wwr8NP72tf+Bg/wDiK+iqK+1+pYf+RHlWR86/8MK/DT+9rX/gYP8A4il/4YU+Gv8Af1j/AMDF/wDiK+iaKX1LD/yID4h8UfBnw/8ABn9o74WWfh43flXt0ssv2qUSHIkC8EAYGDX24e1fL/7QX/Jz/wAHf+uv/tUV9QHpXPg4RpyqRirK5R5Z/wA1sH/XL/2nXqVeW/8ANbB/1y/9p16lXz3DH/MX/wBfZfoenjv+XX+FD6KKK+3PLCiiigAooooAKKKKACiiigAooooA83+N3/IvWX/X2v8A6A9egWP/AB7xf7grz/43f8i9Zf8AX2v/AKA9egWP/HvF/uCvisB/yPcX/hgelV/3Sn6v9CxRRRX2p5p5x8XLqe1XS/Jmki3GTPlsVzgL6V5x/a19/wA/lx/39b/GvQfjL93SfrL/ACWvNK9nCxTpo8DFSaqOzLX9rX3/AD+XH/f1v8a8i/aT+IHj3wv4b8Nr4H1Pyde1HXIbNFuSXSZfJmkMRyRjeY1XdkYz1r1OuK+JHgq88ZXng2W0lhiXRteh1ScTEjfGkUyFVwD82ZF64HB5racU46I56c2pJtnP+G/j1c+MvFHhC8stTurTRL/QdSvb+zuWKy2tzby2qPHKM/K8ZeVWGcfXitjQf2gxr9xooTS/ElrY675g0jUbjyhBflEaQBAsxdN8aM6+aqZA7HiuYX4DzW/xm1fxHbX0UHhjVtJvYbjT0yJIr25NusssYxtAdYAzdy5J53HGb8IfgXe/DvVtGhuPC3gM22jw+TF4isdPMeqXGIvLDn5AI3bLbmDtkEjAzWSUlpY3cotbl34aftOa3q3w/m8Q+KdH1uwgTW5NL+2RtB5IDXz2yFgs5IEeEEjEYzkruFdbfftHaLp+seOtOnvtRSbwfZR3+oMWASSN1ZgIvnyzDZg5wAWUZ5rjNF+BusP8OvHnw91ybS5/DWqveyaZeQiRrlXuZpZi0yEBQY3dCu0nO3JxXOf8M4+L9St/Cupaprmmt4mkuLiPxVcwxnZe2ctzDP5UJ2DG020SgMPuvJznqWklZIPcb1dj1O8/aEliur+2sdC8T6xc6ZZw3mqQ2D2zNp/mR+YsUm64UNJs+bbFv4x1yM1rz9puybXdN0nQ7HxJ4sutR0aPXrZtGWNo3tXdlVt0ssYByvQ4zkAZORWL4g+HnjjSfGXijUPCF1oUmm+K3hbUE1gTCSyZIEty8IjGJAURTtYr8wPODxZ+HnwVl+HfjjSL60u0n0bTfCFt4bjWQnzy8U7SbyMYwQ3r1qrSvawuaNr3Dwf8crm18Va94evdR1TWtbn8RXNvZadZyB5YLRPLBlfLKEhQk5YnknC7m4q98fPHninwzY+HZLLWdT0Xw/PftHrmt6fGbiext/JkKMEKthTL5YZ9p2jk4rAsvgZqOg+PLvxvpF3a23iOfV5ml3FvKu9LmaMvBLxnepQuhHAbjoTXf+PF8ZrawSeDv7EmuVDLNa635qxy5K4IkjyVwA/G1s7h0xQo+7ZoUpLnTiyj4Y+LFrpsPg/Sm8W33io+IftA07XFkjaO4MSlyjtHhQwQP0Xny2zg9YND/aU0jxFoI1Wxl1qVDrw8O/ZvKIm+0llAbG7Hl7GWXfn7hz14rzmP9m3WNL+Gt7baXqdla+MpfFf/AAl9u1uHt7C3uGZQ9soXLmExCRCO+88Y4q/4W/ZyuPCvxM0PVLe9gbwxY2NrNNZtLL5p1SC3ktROgztCtC67s8kxrx3pWl2Lbjr7xFrX7Reu+H7fw82gL4l8Sw6j45vNCu5LxrYSKI3uA9vD++QY3RDy2b+BDvIYgH07VPjReWevXGkWOieJNdu7O3iuL7+zmgK2nmZ2o5knTc+ATtj3HH1GfMLz4E+JrXwjAmm3mlvr2neOLvxdZR3TSC2lWWW4KxSMq7lOy4OSoPK45HNdHN4H8b+GviBqmu+Fn8PvbeJGtpNZXU2nDwSxRCLzIAmQwKKo2Hbymc8nAotboTlFvRmbb/tEap4Q8UfFM6xbeJtZ0bQ9Wid7yxRHg02zNjaMxbdIrMAzSyFYw7AZJHIz7Rqus65NpEzaPfL9vdP9He8kkMIJ6MwU5IA5wCM4xkZyPLdV+FOrX3hX4yaat1a+f4zNwbFizBYjJpkNqPM44/eRMeM/KR34r0LUI9TtPDcsWkLayarHb7bdbxmWBpAMDeVBIXPoM1UI6WaIqSvZxOa+C/izxXqOk6/b+I/EEus6jpusz2JvI08hXVFQ8ICdoyxwMkgdSeteh/2tff8AP5cf9/W/xrxv4M+G/iN4a1rX/wDhLIPDSaZqd3NqQbR7m4kmW4cxjZiRFGzarc5znFetVcIq2qIqSd20y1/a19/z+XH/AH9b/Gut+GOoXVx4mCS3MsieS3yu5I6iuIrr/hX/AMjUv/XF/wClRWivZvQuhJ+1jqe00UUi14R9GDdK+VvhV/yfF8R/+wU3/oVnX1VXyt8K/wDk+L4j/wDYKb/0Kzry8X/Epev6CPqmikHelr1BhXmP7QkrQ/D4lGZGN1GMqcetenV5d+0Yf+Ler/1+RfyagD5r/ti/HS9uP+/rf405Nd1KPOzULpc9dszD+tUqKAPr/wCEk0lx8OdElmkaWVoW3O5JJ+dupNdjXGfB3/kmehf9cW/9DauzoAKKKKAEPavPPjZ/yK9t/wBfS/8AoLV6Ge1eefGz/kV7b/r6X/0Fq+V4o/5E2I/wnoZf/vVP1Oz0H/kC2X/XBP8A0EVoVn6D/wAgWy/64J/6CK0K93B/7tS9F+RxT+Jh7VwXxWv7qwsbE21xNblpGDGJyuePau99687+MX/IP07/AK6t/KvTofxFc48Rf2Tseef8JFqv/QTvP/Ah/wDGj/hINU/6Cd5/4EP/AI1n0V7nLHsfPc8u55L+1Z8YPiJ4B8J+FG8E609vrms+JrLR0N27PGyzLL8pznGWVeQMitbw78fNY8aa/wCAJNM1a8i0vXLG/mu7aSVvMjng8pTGTngo7SKR6iq/xw+Gup/EpfAY0ya1h/sHxbp+vXX2p2XdBAXLqmFOXO4YBwPUisfSfgffeGvj4/jDSr22TwteRXV1daU4KyQ6hMsSSSxELysixIWDEYZcj7xxzyj710jqjU9xJvXU6nS/2nI9WutNMSeJk0rVnki0rWZCv2TUZFUsEiIl3guFcqZERW2nB5Geb8AftY65rnhXxNrniLRfE2jWmj63JpvmYBBjN4bdchZ3JeL5TNjgfMV3AVz3wm/Z7/4VzcaBay+C/B1w+kSFV8TxlhfyoqsEfyvJAWUggM3mEfeOOcV0Oh/CfWF8JfEjwlrBsZdH8QXupXdjeW08gm/0ySSQpKm0bNhfAZXbdjPy9KVvIblFXSf4nb3H7Q1ha+IfFmjza5qUc/hewXUdSmZ3EUcZjMhAbPzMqbGI7CROeTjHuP2ogZlt9Ms/F2v3kNnb32o2uloJH0yKdN8Xn7pVBYrltkZdsDpyM+Mzfsz+NtR8PaZ9r1awTXtYvbmPxdcQ31xtm0+ae3zHbEp94W1rHCFYAAFue59N1Dwb448K+OfFmteDxoeo2niSOCVoNYmktzY3UUKwBl8uN/NRkRSVJUgrweTRa+6Fp0lf5mjN+1tps3iDQ9G0aTxL4mvNa0iPW7L+yEMivatL5ZZi0i7CpBLBsYAxy2FJZ/HzUNF8beJtCvNV1rWdVl1uK10zR7GQyTrAbKzeSQgsqpEjSuzO7Ac4GSVU8f8ACn9na8+FfxI8Mana3tvdaHo/glvDjMzMLiS6a8W4aQJggRn5v4sjIGO9X774Pa/pPxK1rx74aurO112+1OHzraaRlg1HTRbW8TwzEIdsiPFJJG4BIzgnDsAcr7D5o7X6HTfHn4ueK/A9n4clttd1LRtCutQ8rWdfhDXDabbiJ2D7CGADOFUuRhQcmtHQfjBdaLb+E7O78X6h4qi8RXE0Nh4gt5IlhchGljjfY4+Yxo4BRSCY2zt4zf8AGUniiG3tG8NWWk6i/m4urfVbiS3Vo9p+46I+GzjqpBGa8nj+BvifT/hvqkWl3um2XjG48Rf8JNZwBn/s6ymLrugQ7NwjZA+4hAS0jnAzRKNndImMlKK5meh2v7Ten6hoes6nZ3+tXaaXr/8AwjktvDJmaS6+0LACi+ZgoWYMCSDtBOK8/wDEn7VHibwjBpz6WnijxYL7xrd6BcF1iVoFieVGhgCzJlsx5jL9VDbsHAqn4U/Zp1Hwn4y8GQwahYy+CdFtrO7ubMx7ZrjVba3lt1mAC42sJRKxZid8a4HJNWL/AOCHiiHw+hsJ9Ll1Wy+IFx4vt4LiWRYZ7eSeZhCzhCUfy5jyFYBlxyDmk4t7o0UorZnpWrftFS6brp0a0tvFOuarb28F1qNppaiV9MjmzsM+ZAM4Vjsj3vhchSCM8Bo/7UOteFvEXxOTX5vFWs6ZouveX9psIjLDpln9lgbMjblyoYyMQu9x1xitA/D3xj4V+Jnibxd4YTRbyTxZa2K6jb6pcyxiyuLZDGGiKRnzUKMflbYcqDn5sAX4R61/wjfxh09p7Pz/ABhdXFxYN5j7YxJZRQKJDtyDvRs4B4I+gfL5EqSW7PZdR8UeIH0m4l0vUZZb1oS1qt1dSJEzkfJvK5IXOMkAnHavK/2bfi1488aaf49h8VeIX1HUNB8WXuixzWgaCMxQpCRhdxP3nbqScEcmvQLhb2z0N1sYobnUIoMQxTymOJ5AvCs4VioJHUKcehryj4A+AfG/w91TxqPENnoa2HiHX7zxAJdO1CaaSF5hEBDsaBAQPLPzbu/SqcVzLQzjJ8slc93/AOEg1T/oJ3n/AIEP/jR/wkGqf9BO8/8AAh/8az6K35Y9jD2ku52vw71i/vPFNvFPfXE8ZR8pJMzD7p7E17FXifwy/wCRutv9x/8A0E17WOteRiklPQ9vBtunqOooorkO8+U/2pP+Tgvgj/2FIv8A0qgr6qWvlX9qT/k4L4Jf9hSL/wBKoK+qlry8L/Hq+q/IQ6iiivUGeefHS6ms/h7dS28zwS+dGN8bFWHPqK+Z/wDhLNb/AOgzqH/gU/8AjX0j+0E2PhzcD1njH618s0AbEfjLX4c7Nc1JM9dt3IP619QfBm+udS+G+kXN3cS3Vw/nbppnLu2JnAyTyeAB+FfI9fWfwK/5JXon/bf/ANHyUAd7RRRQAUjfdNLSN901MtmB5X4L/wCSpa9/uv8A+hrXqa15Z4L/AOSpa9/uv/6Gteqf418Vwj/uNT/r5P8A9KPWzP8AjR/wx/JC0yn0lfbnkng/iDXtTh1zUEj1G7SNbhwqrOwAG48DmqH/AAkOq/8AQTvP/Ah/8aXxJ/yMGpf9fMn/AKEazq9+EI8q0PmJylzPU0P+Ei1b/oJ3n/gQ/wDjXhmk/HrxxY/G7XNM1rW5X8GT6odC09l3I9peraW1wgeTd8wmE8oGRw0SjPzAV7HXlGpfBX/hJtK+IenarcLbrr2tJq2m3tmT59jIlrbRxTAkDbIksBYbT0xzyQJqU1pZF0578zNLQv2hNUs/D6y6tf6pqus3uvalpem6Zprj7RdCC4mAChnVcLFFlnZlAxyckA4PxC/a31rw7omiXeiaR4kv72fxBbaLqWmzACeyZ2jLRMDMo810lXyyrMhJ5bHNcdcfs163rnhXwVd+JLfQPEfifQtV1LULzTLpnGmXq3ru0oDGNmRlJRlJRsFSO+a6LVPgvqMnw/gs9A8NeF/CurWPiOx12203T53FpN9nlibE0ohVtzKrjIj4+UeprLldrWNuaF736ncXn7TMej2fiqfWP+Eh0WXw7o0Ou3NrfSxrLLbyJIwEQWYguGieIgkDfgAkHNFx+1FpNrZ6DeTaxqiWOraHP4hNz54KWVpEsRZp8SZUlplRQobLKwzxXJ/ED4R+IPiD4k8FatcSaXYLGsUXia1jBlFzDFPFdRRROyZYCeLHzbflkc9eK5eH9lm91rw98SNI1/UbER6xaHRtBns4Bv0/T1nluURvlXkyy/Mo4Kwx85HBZ3skSuS15SPWfD37STa14ksNDvrfxT4avdTjlm0s60nlLqKRjc/lbJGIITDbJAjYOccHHmXxk/ao8Qat+z34h8VeDbnxToRiTTZrTWrxRHG/m3sMckceXJZlDOrfLt5+Vm6101l4K8beLvGXhLWfF66LpcHhpJ5orbR7iW5N5dSwPAXZpI0MaKjsQo3EluT8vOP45+Bmt+Kv2U4fhpBNp41pbPT7Z5ZpHFsxgnhkk+YIWwVjYD5epGcUuVtbFKUYyWv4nr/hD4wT+OLjVRpl1rDWNhKIF1KSQrbXb87/ACDv3MEIwWKhcn5S3OPN9M+LnibVvinq+h6h8S7rw5qtvf4sPDc8CrHd2YCfOrv80rPlvmRhtPG07Tnofhf4N1r4eR3/AIfkuba98J2pU6JIWYXcEZyWt5BjayIcBHBztOCOMnmPiF4D8afEm+s9L1Kw8MxaNZa1b6jb6ws8z3kcUMgkQLCYwFkOChYSY2s3BzitHG8VoZxkuZq+h1Or/tQaboPh+71W+v8AXYEttfbw49qyv5xuVcguq7sGLywZ9+f9WCcZ+Ws74g/tHx6L4mstAj8Q+ILW7g1/R9NuZbAJKjS3jMY7dzI+QpRQzsoyqum3JOByHi79na98WfFTXdUmuYF8J6jp9xN9lFzMJv7VktBZCUrjbsFuZAMEEFicd6yrX9nnxZdeCfDCanf6dceKo/Hdn4s1mb7RI8DRQOEWKBjHuytvHCoVgBlT82Oazae1jRcmj5juvA/7Umu63r/j2113TPEGjaR4av7mI6zKyraxwQwRyHzSJ2bzDuZhtXG0p0ORTfGH7RWu6h8MfE2q6db+L/Db2tj9ts7/AFKExrcRblw8eHYgkEHZIFfB+7wcZGpfB3xDqjfFDw9I2mL4V8ZyzXS3/nyfbLaSSzjh2mEIFIDxKwPmcjIxzxcuvC/xM8ZeAdT8P+JYvDFpLLpqW6zadcTyC4uA4LSNujXyk2r90BzluoA5fLpsLmjdO/bqdv4L+Plx4s8RT6BKviTQ9VjtvtkMWsfuvtlvu2GaILIx27iuQwVhuXKjNZfx1+IvxC8J6Pp2qeH/ABEthp8N/ZxXwn8yaecTXcMIjTLbUG2RyWOTkKAByaLjwBqMnxs0nxeJrb+zLTw/caVJGXbzjK88UikDbjbhGyc5zjiqfx28L+K/Gnhm30fwxaaTOHu7a6uJtUvZINnkXMUyqoSGTdu8sgkkYyOtXy+7sRze+mnoet/8JFquP+Qnef8AgQ/+NH/CQap/0E7z/wACH/xrB0WXUJtKtn1W3t7XUSv7+G1maaJW9FdlUsPcqKvVqoxtsYOUu5of8JFq3/QTvP8AwIf/ABr2D4eXE154TtJZ5XmlZny8jFmPznua8Pr234af8idZfWT/ANDauPFRSgrI7sG26ju+h1dFFFeWe2cV8av+SP8Ajj/sB33/AKIeuI/Y7/5ID4d/3rj/ANHNXb/Gn/kj3jj/ALAd9/6IeuI/Y7/5ID4d/wB64/8ARzV5kv8AfF6fqLqe2UUUV6Ywr5h+OWuajp/xFvI7S/urWMQxfLDMyDlB2Br6er5T+PjbviZf+0UI/wDHBQByH/CWa3/0GdQ/8Cn/AMa7f4PeKta1D4jaNbXWsX9zbOZA0M1y7ocRORkE46gV5nXcfBLn4oaH/vS/+iXoA+uKKKKACiiigAooooAKKKKAEPSvlH9pr/k5L4N/9ftv/wClSV9XHpXyj+01/wAnJfBv/r9t/wD0qSvMzD+D81+YmfV1LSUtekthhRRRTA5D4qf8iTqH0X/0MVd8Bf8AIo6V/wBcVql8VP8AkSdQ+i/+hirvgL/kUdK/64rXxEP+Skn/ANel/wClM9SX+4L/ABfodFRRRX255YUUUUAfLv7QX/J0Pwd/67f+1RX1Afu18v8A7QX/ACdD8Hf+u3/tUV9QH7teVhf4lX1/RDPLP+a2D/rl/wC069Sry3/mtg/65f8AtOvUq+d4Y/5i/wDr7L9D08d/y6/wofRRRX255YUUUUAFFFFABRRRQAUUUUAFFFFAHmvxw/5F+y/6+1/9AevQLM/6ND/uj+VcB8cB/wAU7Zf9fS/+gPVWGb4giNBHFbBccfd6V+XyzNZdnuJvSlPmjH4Ve3qe4sP7bCU/eSs3u7dj1EGlzXmHnfET/nnb/wDjlL53xE/552//AI5Xsf60R/6Bav8A4Azn+oP/AJ+R+8d8ZBhdJ+sv8lrzSuj8ZSeJH+x/28kIX5/J8vGf4c5x+FcZr19eabpsk+n6bJq10pUJaRzJEz5PPzOQowMnk9q/QMnxyxuFVVQlHV6SVn9x8lmFH2Ndx5k9ttUaFFct/wAJNr/2rTY/+EQuhFcKhuJvttvi0Jcghhvy+FAb5c9cDnimL4o8RNaXsp8GXazQuqwQfbrYm4BJywbfhdoAOG5OeOhr2uY87kZ1lFctJ4m8QLd2US+D7poZkRppvttvi3Y/eUjfltvcrwe1QL4t8S/YZZT4HvBcLIqpb/2ha5dSDlt2/AAwODzz7GjmDlZ2FFctJ4l19dQSBfCN09uY95uvttuFDbNxTbvzkN8ucYzz0qMeKvEZ0g3X/CF3f2wXAi+w/b7bcY9pPmb9+3GRtxnPOcYo5kHKzraK5NfFHiFrzyv+ENuxB5Hmef8AbrYjzPK3eXjfnO/93npnnO3mmt4q8R/2StyPBV412ZjGbL7fbbwgUESbt+3BJIxnPHpRzByO511FcpH4m8QteSRN4Ou1hWIus3262IdtuQmN+QSflyeO/So38VeJFsbaYeCbx55JGWS2/tC2BiUYwxbfg5yeByMc9qOYXIzr6K5ZfEuv/ar+M+EbpYoEdoJvttuRckHCqBvyu4c/NjGOabL4o8QLZ2Eq+Dbx5p2YTwfb7YG2AYAEkvhsgk/LnGOaOYfIzq6K5WTxN4gW61CMeD7t4rdWNvML62xdEMAAo35XKkt82MYx1NNk8UeI1hsHTwXdyPOCZ4xf2wNthiBk78NkYb5c9cdaOYOVnWUVyK+KvEhjvGPgq7DQkeSv9oWx8/5sHB3/AC4HPzY9KmfxJr63Wmxr4SumiuERrmX7bb4tCWIZWG/LbR83y5znjmjmHyM6iiuRtfFXiObT7yaXwXdw3MOzybU39sxuMnDYYPhdo5+brnipP+En8Q/adPj/AOEOuvLuFUzy/brfFsSxBBG/LYADZXOc4HNHMHIzqq7D4V/8jUP+uL/0rzLwzrWrax9p/tTw9PoPl7fLE11DN5uc5x5bHGMDr6+1X9Qm8fx3FuPh7DYy6od3nNeEfLHgfdDcdfWubFVPZ0JSs2aUFarG59TUV8rfaP2of+eWi/8AkCl+0ftRf88dF/8AIFfJ/Xl/JL7j6S59TGvlf4VH/jOT4j/9glv/AEKzp32r9qL/AJ46L+UFcz+zO3iKT9q7xo3i1YU8Rf2NJ9sW3xsDeZa4xjj7u2uKriFWrUkota9VboFz7NXpS0i9KWvoBhXlX7R3/IgJ/wBfsf8A6C1eq15X+0d/yT+H/r+j/wDQXoA+Y6KKKAPrz4O/8k10L/ri3/obV2lcb8HRj4a6F/1xb/0Nq7KgAooooAaeteefGz/kWbb/AK+V/wDQWr0Q9q86+Nf/ACLNt/19L/6C1fJ8Ve7kuJf909DL/wDe6fqdroP/ACB7L/rin/oIq/zXlun6l47WytxBY2rQiNdmeuMcfxelWv7U+IH/AED7T/P/AAKvKwvFFONCmvq1XZfYfY3ngJcz9+P3o9H3Dp0rzz4w/wDIP0/081v5VD/afxA/58LPP+f9quc8Z3XiS4trUa1awQRBmMbRdc457mvay/iKGIxMKSw9RXe7i0l6s8/GYKVOhKXPF27NHLUVT1a8nsNPlntrKXUZ1GVtYHRXfnHBdlX8yKwl8V60zWmfB2pqJv8AWH7RafuPmI+b99zxz8uevrxX6TzK+p8ao3Oporm/+Em1bydQc+E9S3W5AhQXFrm5BbBKfvcDA5+bbx78Ui+KNWM1gn/CJakq3CqZpDcW221y5Uhx5uTgDd8gbgjHPFHMh8rOlormF8Vawba8kPhDUxJC6rFD9otN04JILKfOwAMD7xB+YYzzS/8ACUawLi1jPhHUvLlRWkm+0Wu2AnOQw83Jxx90HrxmjmQcrOmorll8Va0bGac+DtUE6SKi2v2i03yKQcuD520AYHU55HHXDovFGsSXccTeENSjiaPeZzcWpVW2bthAmznPy8DGec45o5kHIzp6K5geKtZ/sk3R8IakLkTCIWX2i18wrtz5mfO27c8Y3Zz2xzUlv4m1aS/SCTwpqUULRCQ3TT2uxW8vdsIEpbIb5MgYzznbzRzIOVnR0Vyn/CXa39hE/wDwhWq+d5uz7P8AabPdtxnfnztuM8dc+1SReKtXkuJY28I6nHGsZdZmuLXa7BchABNnJPGSAM98c0cyDlZ09FcpJ4s1uOxhmXwZqkk0jMr24ubTfEBjDEmbaQcnGCTwc44zZPiTVRdXsX/CLah5cEbPFP59ttuGGMKo83IJ7bgBxyaOZBys6KiuXn8VazDp9pOng7VJp5i/mWyXNoHg2kAFiZgp3dRtJ6c4qRvE2rLcX8Y8Jak6W6kwyie1AuSGAAQebkZBJ+YDgeuBRzBys6SiuYk8Vawkdkw8Iam7TgmVRcWg+z/NjDZm54+b5c8H14pY/FOsNDes3hDUkeAAxI1za5uPmwdn73AwPm+YrwPXijmQcrOmormI/FOstNZI3g/U41nx5sjXFqRb5cr8+JsnAAb5d3B9eKu+Hta1DV2uBfaBeaII9uw3UsD+bnOceVI+MYHXHUe9NSWwuVo9D+GP/I3W/wDuP/6DXtv86+XLzUPG+m3lnJ4F06x1HVcuHjvmIATHUDcMn6mrP/CW/tK/9Ct4e/P/AO2183mGJVOryuLenRHt4PSmfTeBRxXzH/wl37Sv/QreH/z/APttH/CXftLf9Ct4f/76/wDtteZ9fX8kvuO65R/ak/5OB+Cf/YUh/wDSuCvqla+DvH2qfETVPjp8Jj8QdLsNOuV1i2+yLYdGX7VDvLfM3Q4r7yXpWWBqe0qVZpNXa39ChaKKK9kDzP8AaE/5J3J73MX9a+W6+of2iGx8PSPW7iH6NXy9QAV9afA5dvwu0Qe03/o56+S6+t/gov8AxbDQ/wDdkP8A5FegDuaKKKACkb7ppaa33aT2A8s8Ff8AJUte/wB1/wD0Na9S9BXiUFxrFt8Q9cOixRzXJLBll6Bdw56jviul/tPx+f8AlwtP8/8AAq/IeH89hgaFWjKjOTVSesYtr4n1Po8bhJVakZc0V7sd3boj0qivNf7T8f8A/Phafl/9lS/2p8QP+fC0/wA/8Cr6n/Win/0DVf8AwBnn/UJfzx/8CRwXiT/kYNS/6+JP/QjWdU+oNcSajdNdoqXRlYyqnQNk5xXM6r4g1Ox1RbW28N32o2xAP2yGa3WNSeoIeUNx7LX6hh6yrUIVbNKSTs9H80fDVYctSULrRm/RXKL4t1ttPkuD4L1VZlkVBbfabTewIPzA+dtwDxyc8jipz4m1f7ckH/CJ6j5Jj3m6+0W2wHZu2483dnPy5xjPOcc1vzIz5WdJRXLf8JZrP9mi4/4Q3VPtHneX9k+02m/Ztz5mfO24zxjOfbFWJfEeqx6lLbr4X1CW3WLet4s9t5bts3bADLuzu+TkAZ5zjmnzIXIzoaK5RvFutLYJP/whmqGZpWQ2wubTeqgAhyfO24JJHBz8p46VLc+KNXhvrqCPwnqVxDEGMdylxahJiOgUGUMM/wC0B+FHMh8rOmorl18VayYrRz4P1MNM5WRPtNpmAAgbm/fYIOc/Lk8dKWbxTq8dxfIvhHUpI4M+TMtxahbnDADaDMCMglvmC8D1wKOZBys6eiuZl8UaxHZ2Uy+EdSllnLebbrcWoa3wcDcTNg5GSNpPTnFRzeLNajmvETwdqciQ58qRbi0AuPnCjaDNkZBLfNt4HrgUcwcrOqormT4o1j/QseEdSPn/AOt/0i1/0b5sfP8AvueMN8u7g+vFMXxXrTQ3TnwdqivFjy4zcWmZ8nGVPnYGBz82KOZBys6miucXxJqv2uxiPhbUBFcRq803n2222JJBVx5uSRjPyhhzxmoIfFmtSWNxMfBmqJNGyhLc3NpulBzkqfOwMYGdxH3hjPODmQcjOqornR4j1U3lpD/wi+oCGaJXluPPttsDEElGHm5JB4+UEZPBqovjDW2tZJT4J1ZZVdQsH2mz3OCDlgfPxgYHUg89OtHMg5WdbRXNS+J9XS6SJPCWpSxGISGdbi12qxTdsIMucg/LnGM98c1B/wAJdrf2MTf8IVqpm8wr9n+02e8LjO7Pn7cZ4xnPB4o5kHKzrK9t+Gn/ACJtl/vSf+htXiEbF41YoUYjJVsZHtxVPT/Enx4s4Xi8M+HdDudDWWQWsszEuy7zy37wc/gK8rMa6o01Jxbu+iO7BfxH6H1LgUYFfMf/AAl37S3/AEK3h/8A76/+20f8Jd+0r/0K3h/8/wD7bXz319fyS+49rmPZ/jV/yR3xyf8AqBX3/oh64n9jk7v2f/Dv+9cf+jnry/4heKP2g7jwH4ji1rw3oMGjvptyt7LEfnSAxN5hX96eQue1en/sc/8AJAfD/P8AHcf+jnrnp11Wxiai17vVW6j6nttFFFe4MK+UPjwc/ErUf9yL/wBAFfV9fJnxybd8StU78R/+gCgDgq7n4I/8lQ0P/el/9EvXDV3HwT/5Khof+9L/AOiXoA+t6Kpanq1ro9r9ou5RDFkLvIJGT9Kyh8QNA/6CMf8A3y3+FNRctUiHOMdGzoefWjn1rnv+FgaB/wBBKP8A75b/AAo/4WBoH/QSj/75b/Cnyz7E+1p/zI6Hn1o59a57/hYGgf8AQSj/AO+W/wAKP+FgaB/0Eo/++W/wo5Z9g9rT/mR0PPrRz61z3/CwNA/6CUf/AHy3+FH/AAsDQP8AoJR/98t/hRyz7B7Wn/Mjov518o/tMf8AJyXwa/6/bf8A9Kkr6M/4WBoH/QSj/wC+W/wr5r/aEvota+Pnwl1KwEl3YWd7Cbi4iiYpEFuFY7jjjCgn6A152OpzdLRdV+aH7SH8yPrTd70ufeueHj7QP+glH/3y3+FH/CwPD/8A0Eo/++W/wr0FCfYXtIfzI6Hn1o59a57/AIWBoH/QSj/75b/Cj/hYGgf9BKP/AL5b/Cnyz7B7Wn/Mil8Uv+RJ1D6Ln/voVe8Cf8ilpef+eC1zXxB8WaRq3hO+tbS9Sadgu1FVsn5gfSrfhHxlo2n+G9Ot579I544VV0Ibg/lXxkKNT/WOc+V29kun95nqOrT+oJcy+J/kd1z60c+tc9/wsDQP+glH/wB8t/hR/wALA0D/AKCUf/fLf4V9nyz7Hl+1p/zI6JaDWNpvivStWuhbWl6s0pGQig9B9RW1Ss1uaKSlqj5d/aC/5Oh+Dv8A12/9qivqA/dr5f8A2gv+Tofg7/12/wDaor6gP3a8nC/xKvr+iKPLP+a2D/rl/wC069Sry3/mtg/65f8AtOvUq+d4Y/5i/wDr7L9D08d/y6/wofRRRX255YUUUUAFFFFABRRRQAUUUUAFFFFAHm/xw/5F+y/6+1/9Aeu+sVH2WLj+Efyrgfjh/wAi/Zf9fa/+gPXoFj/x6xf7gr4rA/8AI9xf+GB6VX/dKfq/0Jto9KNo9KdRX2p5p5j8ZlG3SuO8v/stea16X8ZPu6V9Zf8A2WvNK9vC/wAJHz2M/isKKK8q/aI+I3ib4b+F9DuvCWnWuraxf6vFZCzug582PypZXVNnPmMItq8EZbpXRKSirnLGLk0keq0V5poPxet/F3iTwY+jywy+Hdf0K81YzOP3iNE9soQkHClfOkV1IyGXHGDVzRfjl4U1/WLfT7WbUAbxJH0+6n0y5it9Q2KWcW0jIBKQoLALksASu4AmpUol+zkjv6K8e+Gn7SGkeM/CravqtnqGin+120pfM0u7SEs129vBiR4gpZiq7gD8hOGxXa3HxS8MW+qeKtPfVEF34XtY7zVU8t8W8To7I2cYYkI3Ckngeoy+aLVxOE07WOsorz3xF8dPDHhm6WCddYu5Ft47y6/s/SLm6+wwuCyyXHlxny+ATg/NgE4wM0a98ePCHh/VbDTDc32p6jf2Mep21rpGmXF7JJau5UShYkYlQQSe4A9xk5o9x8kux6FRXmHhP4oRw32uWuvaiZbqTxPcaRpdrHDulZFVCFCouSqgsS56DOTT/jV8Sb74fnwrb2s1lpUGtan9huNd1SNpLWwHlPIu9VZcs7IEUlgoLZJ4pc65eYPZyUuU9Mork9K8VrpDeHtG8Q6tZ3XiDVxObaWxhaKC68v5yEDM+GEZBI3HO1iOBVSx+NHg3VNHGqWetxXNkdXGg7okcsL4yCMQlcZByQckAbSG6HNPmRPLI7eivCvEH7R0PhSHQjtm8RjUvFlzoMs2m6Pe7beOJpwyAKr+ZMpiVdo5f52VcA473xB8YvD/AId1mHSpotXvL1oY7iePTtJubr7JC5ISSfy0PlAlTw2DwTjAJCU4sp05x6HcUV4fb/tDaZ4S8WfEGz8V3969jpWsxQwSWumSzxafaNY2sgeeSGMhEMskmGkOScgcLx7Brg1KTSLn+xpLWLUin+jyXis8KtkcsqkEjGeAR9RTjJSWgpQcXZmhRXl/w18aeJrz4keMPB/iSbTdQfRraxu4b/Tbd7cMJxLmN0aR+QYs5B5DdPX1CnFqWpMouLswrsPhX/yNQ/64v/SuPrsPhX/yNS/9cX/pWVf+GzXD/wAWJ7PtFAGKWkXpXgn0wYFfK3wr/wCT5PiR/wBgpv52dfVNfK/wr/5Pk+JH/YKb+dnXmYv+JS9f0A+qaKTuaWvTAK8p/aQO3wDb/wDX/H/6BJXq1eTftKNt8B2nvqMY/wDIclAHzRRRRQB9f/CNdvw30If9MM/+PGuxrkvhOu34d6Dj/n2H8zXW0AFFFFACHtXnnxr/AORZtv8Ar5X/ANBavQz2rzz42f8AIr23/X0v/oLV8rxR/wAibEf4T0Mv/wB6p+p2eg/8gay/64J/6CK0MCs/Qf8AkC2X/XBP/QRWhXuYP/dqXovyOKp8TECivO/jF/x4ad/11b+Qr0Veled/GP8A5B+nf9dW/lXqUP4iOPEfwmeWUUUV7582JtFLXkv7SPxb1z4P+FfD994e0m31rVNW1210eKzuGKhzKshAByMEsirk8DdntWtpHxYi8S614FGlLHLpPiTTrq+MjhhJGY1iITBxgguwIIzkVnzK9jT2crc3Q9EpMAdq4W0+NnhG/wBUNhBe3rysZkgm/su6+z3TxAl0t5vK8udwFb5Y2ZjtOAcVgeA/2ivD/izQde1a/S80S00rWJNLaW80+6hjIN2baBt0kSjczbNydYy3z7afNG9g9nO2x6ztFLXOf8LC8O/8JBrWif2tb/2lotrHeajBu5tYXBKu56DhScdQMHGGGcLWvj14J8PpE11qV3IXsF1R1stLu7toLVhlZplhiYwqRyDJtzg+ho5ooXJJ9D0CiuC1b45+B9F1zTNHn1zz9S1PT01SxgsLWe7N1aswVZYzCjhhnng8KCxwoJqC1+KtlpeueJLbXr6OBIddg0nS4IoHeadpLO2mCBEBZjulck4wqjJwBmlzRH7OVtj0Sk2ivNfjN8SNR8Bt4Ys7AWNk2uX7WLaxq277HY/umdTJhlyXZQijcMsw69K6HS/E8mkpoem+Jr60m1vVGlS3l0+2lW2uCilyAx3KjbBnaz84bbnBwcyvYXI7XOp2ijaK5KP4teFJtH1TVY9WVrHS9UbRbuQQSEx3gnWAxbdu4nzGVcgEHOc4rzzxB+0ZbeDW08XcjeIft/iyfQjJpOj3u20ijaRWRsI/mTI0eCF+/ksq4Boc4oapyfQ9w2ijaK4nxP8AGjwl4PuorXU727S6e0+3yW9rpl1cyW9tnHnTrFGxgTORmTb91v7pxw2h/tGaRo/izx9pni3VPs0ej619ltmt7CeVLa18i3IkuHjRliQySuPMkKqcHn5Tg549wVOTWx7ftFLVPVGvG0m6bTBA1+YmNt9pJERkx8u/bztzjOO1eceA/HHin/haGseB/FTaVe3drpUGsRX+kwyQJ5cs00YhZHd/mHlZ3A856CnzJNCUXJN9j1OiiirIOr+GP/I3W3+4/wD6Ca9rrxT4Y/8AI3W3+4//AKCa9qrxcV/EPdwX8IdS0lLXIegfKv7UH/JwvwS/7Ccf/pVBX1T6V8rftQt/xkJ8Ev8AsJxf+lUFfVPpXmYX+LV9V+SAWiiivTA8s/aMYj4fp6fbI/5NXzFX07+0Z/yT9P8Ar9j/APQWr5ioAK+uPgv/AMky0P8A65v/AOjHr5Hr68+Dq7fhroX/AFyY/wDj7UAdpRRRQAUjfdNLSN900pbMDyvwWP8Ai6XiD/dk/wDQ0r1IgeleXeC/+SpeIP8Adf8A9DSvUjXw/CP+5VP+vk//AEo9bMv4y/wx/JC7RSMo9KdSV9zY8k+efEn/ACMGp/8AXzJ/6Eazq0fEn/Iwal/18yf+hGs6voqfwo+Vn8TE2iloryDQ/jNqM3xo1nwrqlla22g/a303TL9HId7uK1t7l4pM8ZdJyU28/uXyOM0Sko2v1FGLknboev0V5xpPxi0618Lzav4hf7GW1u80i2t7O3luZrl4rmWJFjhjVpJHKxliFU4AY8AHGP40/aU8O+HfDmg6zpkd7rFvqOvRaJNHHpt2JrR/NCTCWIRb0lXIIjdQz5G0NmlzxtcpU5XtY9e2ilrjv+FueFls9fupL+e2i0HT49U1IXen3Nu9vbPE0qyFJI1ZvljfKqCQVKkBuKnk+KPhaFdEeTVo4YdZ0+bVbOeWN0ia1iRHkmd2ULGqrLGT5hX72OoNPmj3FyS7HU7RRtFcP4R+Nng/xtqdvp+l6jcLeXVsby1i1DTbqyN1AOskJnjQSqAQSUzgEGvPPi9+0vp1v8G/E3iX4f6mupX+mGw23UlhMbXE91BGyh3RUdwkpBUMWRuGAIxRzR7jVOTdrHvlFYegeNdG8UalrNjpV59tm0edba8eOJ/JSUruMayldjso+8qsShIDYJFcH4f8feJPGHxA17T9N1Pw7a2Wh6h9iudJnjle/dNoYS7t4ChgSVwrAgdc5AXMlYSpt38j1iiuLvvjH4N03R59Vu9dt7ewg1ZtCklkDKVvhL5Rh24yW3Z5Axty2dvzVn+PvippXh3V9N0eHxBZabqjavptncQ3VlPcB1upHEcCmPAjlk8ttrMcLjLDBGTmitbjUJPoeiUV5h4G+PGkeLvEXi/Spre+006BqE1qbq40+6jtmiihjkaSSd4hFGcu3yswJVQw4YE0PEn7QWgXXgPX9X8NajILux08ajC+p6fcWkUtuXC+fGZkQSxjPLoSoyuTyMrnja4/Zyvax69RXIeC/in4b8d3k1lpN9NNeQwJcmO4sp7bzIXJCzRGVFEsbEHDpuU469KpfEq88c6fb3N74ZvPDenafY2huZZteEpEjKHLIzIyiJAFQ+Yd2Mt8vHL5lbmI5XflZ3lJtFc18M/F0nj74e+HPEkto1hLqthDeNbNn92XQMQM9uePbFdNVolqzsFe2/DP/kTrL6yf+htXiVe2/DX/AJE+y/3pP/Q2rhxnwI9LA/xH6HVUtFFeSe2cV8ah/wAWd8df9gO+/wDSd64j9jj/AJN/8P8A+/cf+jnrt/jZ/wAkd8df9gO+/wDSd64j9jj/AJN/8P8A+/cf+jnry5f77H0f5ge2UUUV6gBXyT8bm3fErVvYoP8AxwV9bV8j/Gpt3xK1j/eUf+OigDh67j4I/wDJUND/AN6X/wBEvXD13PwR/wCSoaJ9Zf8A0S9AH0J8U/8AkVX/AOuqfzrxqvZfil/yKsn/AF2T+deNV6+E+A8DGfxfkFFFFdxwhRRRQAUUVxvxc8cXPw88B32sWFlHqWqeZDa2NnLIY1muJpVijUt2G5wT7A0nZK7Gk5NJHZUVwGk2fjHwrnVvE/jHTNR0qGF59QiXSvs6wKsZJMLiQkKGGfnDHaDzmqHhn4+aT4k1rw/YvoXiDR7bxEkraNqepWqR21+UUvhSsjPGWjVnUSom5V45IBjmj1L5H9nU9Oorybw7+0l4b8SeFdU8TLput2HhzT96SaneWYWOaZZvK8mIKxaVy+FG1SCTtB3AqOk8H/FKx8VeIb3w9c6ZqXh3xFa20d62lawIVmktnJCzIYpHVk3AqcNlWGGAyMnPFh7Oa3R2tFFFaGYUUUUcsdwCiiigDrvhb/yNcf8A1yf+Ve0r0rxb4Xf8jZH/ANcn/lXtVeJif4h72D/hHy7+0F/ydD8Hf+u3/tUV9QH7tfL/AO0F/wAnQ/B3/rt/7VFfUB+7XgYX+JV9f0R6B5Z/zWwf9cv/AGnXqVeW/wDNbB/1y/8AadepV87wx/zF/wDX2X6Hp47/AJdf4UPooor7c8sKKKKACiiigAooooAKKKKACiiigDzf43f8i9Zf9fa/+gPXoFj/AMe8X+4K8/8Ajf8A8i9Zf9fa/wDoD16BY/8AHtF/uCvisB/yPcX/AIYfqelV/wB0p+r/AELFFFFfanmnmXxk+7pPpmX+S15pXt3jDxtaeEWthc2805uN23yQpxtxnOSPWuc/4XVpX/Phd/8AfKf/ABVeFiOMMpymq8LiqyjJbp36i/sXE4v97Si2meaVwvxQ8H6h4tvfBElj5WzSPEMGp3Pmvt/cpDMh28cnMi8fWvob/hdml/8APjdf98p/8VSf8Ls0v/nwu/8AvlP/AIquR+IGQSVniI/j/kXHh3HRd1B/cfHlr8C9X0v4v61fafLbW/gvUNK1EQxb8yWl7eNb+cFj2j92TCZPvH5nbpmo/hB8ILzwf/wh9rq/hy6lvtAjEY1ZvEU01qHWB4vNitmYgblbG3aAoc88c/Y//C7NL/58Lv8A75T/AOKo/wCF16V/z4Xf/fCf/FVn/r7kH/QRH8TT+wce1Zwf3Hx9ovwf1uf4LeNvh9qVrHBJdz6jcafqcdz+7eSe5luIGwMMpRmjJz3HFcldfAPx1rV1pWu3qaNBrevtcWPi2NJGaNbF7qCWNYh0kKJA0eWwf37V93/8Ls0r/nwu/wDvlP8A4qk/4XZpf/Phd/8AfKf/ABVJ8e5A/wDmJiNZDj1e1N/cfKNz4T8VeE/GXxBvNH0a21yy8VJbywObtLY2ksdmlsUkBUkp+7Vgy5xuI28ZMPwr+C+qfDnxvoVxJcQ3ul6X4JtPDv2gfK8lxFO7sdnZSpHevrX/AIXVpX/Phef98p/8VS/8Lt0n/nwu/wDvlP8A4qq/19yC9/rMfx/yF/YOOtb2b+4+O9I+DOu+F/irc+PNNEL311q1zDd2sk+Y59MmKEMAQQksbqGyuNwLKSflx6f44l1VrWC1tPDVr4l064WRL6Ce6WMqMDZhHUq4JznJGMDrXuv/AAuvSv8Anxu/++U/+KpP+F2aT/z43f8A3yn/AMVQuPsgSssTH8f8iXw/jpO7pv7j4dsvgV4y0P4a50w2lt4j03xc3iLQ9Ijuj5FlZuwjk08TFTtQwtN91cZbAFX/AAP8Add8H/ETRmWZH8JRw2eq3Uf2kZXVorWS1kxHs+dHUwuWY53IePT7SHxr0nvYXf8A3yn/AMVTv+F2aV/z43f/AHyn/wAVS/194f8A+giP4lf2Dj9VyP7j4t/4Ux4o0/w9pbRQWt1f6X8Q7zxWLRbgKZ7WWW62qHIwH2zqcHjgjNdlBofinwh8QfFes6Zo0et2viNbW4Al1BYTaTRQiJoyCp/dkKrZXJyzcV9Pn416V/z43f8A3yn/AMVSf8Lr0r/nwu/++U/+Kp/6/cPrbER/EP7Bxz+w/uPlPVvhjrWoeE/jfYKlv9r8Xm4/s0eb8p36XBbLvOOP3kbevHNeg+JJNe0zwTdf8I5aWd/4iitQtnb30xjt2lwAN7KM7R1wMZxjIzke2f8AC69K/wCfG7/75T/4qj/hdmlf8+F3/wB8p/8AFULj7IVtiY/j/kS+H8c96b+4+aPg34Z1fwjZXFvrGnTS6rfM17qev3F1E8l9dHaCfLTiNAOEQcIqKvPU+l16Z/wuzSv+fG7/AO+U/wDiqP8Ahdmlf8+F3/3yn/xVVHxAyGKt9Zj+P+RMuHcbJ39m/uPM67D4Wf8AI1D/AK4P/MVt/wDC7NK/58Lz/vlP/iq1/C/xKsPE2pizgtriKTYX3SKoHH0J9a6aPG+TY6pHDUK8XOWiSvq/uI/sLF4f97ODSXkdtRSA5pa+gGJXyv8ACz/k+T4kf9gpv/QrOvqivlb4V/8AJ8nxIP8A1Cm/9Cs68vGfHS/xfoB9U/xUtJ/FS16gBXkv7S3/ACItl/2EY/8A0VLXrVeSftLf8iLY/wDYSj/9FS0AfNVFFFAH2N8Lvl+Hug/9eqmuqrmfhmNvgDQB/wBOcf8AKumoAKKKKAEPavPPjZ/yK9t/19L/AOgtXoZ7V558bP8AkV7b/r6X/wBBavleKP8AkTYj/Cehl/8AvVP1Oz0H/kC2X/XBP/QRWhWfoP8AyBbL/rgn/oIrQ7V7uD/3al6L8jiqfExOled/GP8A5B+nf9dW/lXolc34u8Y2nhOKCS6hmmEzFV8oA4I+pFaV8dRy6m8ViJcsY7t9CPYTxP7qCu2eG0V6Z/wurSP+fK8/74T/AOKo/wCF16T/AM+V5/3wn/xVeH/xEDIf+gmP3sn/AFcxv8j+4+W/2hPAuseOl+HI0e3W4/sfxppmsXm51XZbQmQyNz1xuHA55rB8O/CLXvBv7QUd/p6xy+AZYb3UIU34fT7248sTwqpJzG7RiUYwFZ5Bjoa+wv8Ahdmk/wDPlef98J/8VR/wuvSf+fK8/wC+E/8AiqzfHmQN3+sx+9m0chx8VZQf3HxP8I/hNeeG4/CWg+IPCutTXHhwqY9X/wCEill0zzI1KLNFbtMcblZvlMYxk1t6B8PdeuvBvxT8GanpjWC6lqWqX+marHcRsk4up5Joio5ZHjLJncODgjNfXv8AwurSP+fK8/74T/4qk/4XVpHT7Fef98J/8VS/18yD/oIj943kWPk7+zf3H5/X3wS+Iut6H9vmjksvEXjS6uLDxOv2iGRbDT5ZbeJdvy4k22dsV7ndKxGO3pX9j+LPhr8SfGeo6J4Og8Sab4m+wtayWt1FbG0aG2EBjuN//LMbFZSgbAZ+PX64/wCF1aP/AM+V5/3wn/xVJ/wurSf+fG8/74T/AOKpf695B/0Ex+9j/sPHvem/uPif4MfAjXfhb8UPB887C/0nSfADaFPf7wc3jXyzlAp52gbsHHQDvWrd/DXxNoHxg1f4iaRZR6m0upLbSaXcSqDNYvaWkbTwPnEcqSROSDxIoK8Haa+xP+F1aR/z5Xn/AHwn/wAVR/wurSOv2K8/75T/AOKp/wCvmQbfWY/eL+wcfe7pv7jwX4kXV9DoPlW/hFfGdpNuS50/z4UOMcHEuEYeuSMds14vp/wj8YeGfhTNNpGmQ/2zp3ib/hIPD/hy4uFYWNscI1mJc7QSjz8jKr5mBkAV9xf8Ls0j/nyvP++U/wDiqP8AhdWkf8+V5/3wn/xVOXHeQy1eIj9//AFHIMdFWVN/cfCvgv4B+JvCfjHwfosiQTeEofsfiHWtQiuGWSbVoIJUdSCSZBJO8U+SAB5Z9Ri3qfwv8X6b4Zju7PRRqV/p3xKu/FC6etyiSXNk88+CjE7d5WZW2sR0wSDX2/8A8Lq0fH/Hlef98J/8VR/wurSP+fK8/wC+E/8AiqX+veQLbEx+/wD4BX9h4/rTf3HyDb6H4v8AAfxh8X+K9O8MSeIrPxla6afJW9igbTJreGSNkl3H5kO5W3JnksNpxkr/AMKx1weF/jnaGxja68T3dzLpqiRT5yNYRRID6fOrDnHr3r69/wCF1aR/z5Xn/fCf/FUf8Lq0j/nyvP8AvhP/AIqj/XzIP+giP3k/2Dj/APn2/uPFfEF1q2i+C76bRdPTVNbtrJjaWMkgjWaZU+VCx6AsBzXm3wFsfEGlXOoN4j8J6ra69qg+16t4j1K6t5DdzDCrGiRuxjiRTtSMDCqvOSST9Z/8Lq0j/nyvP++E/wDiqP8Ahdmkd7K8/wC+E/8Aiqr/AF9yG9/rEfvJXD+Ns17N6+R5nRXpn/C7NI/587z/AL4T/wCKo/4XXpP/AD5Xn/fCf/FVp/xEDIv+giP3mf8Aq5jf5H9xzvwz48XW3+4//oJr2uuI8N/E3T/EerRWEFrcRySBiGkVQvAz2Y+ldxkCvXwubYXOKf1jCTUo7XQ/qdTBfuqqs9x1FFFdoz5U/ag/5OE+Cn/YTi/9K4a+qfSvlb9qE/8AGQ3wUH/USi/9K4K+qh0ry8L/ABq3qvyGLRRRXqCPLf2jP+Sep/1+xfyavmGvp39oz/kn6f8AX7H/AOgtXzFQAV9ffB9dvw30L/rgf/QjXyDX2B8I/wDkm+hf9e/9TQB2FFFFABSN900tI33TSlswPLPBf/JUvEH+6/8A6Glepf415b4L/wCSpeIP91//AENK9S/xr4fhH/cqn/Xyf/pR6uZfxl/hj+SHUlLTK+52PKPnvxJ/yMGpf9fEn/oRrOr1TUPi9pen309s9ndM8UjRsyqmCQcE/eqv/wALq0j/AJ8rz/vhP/iq+elx1kdGTpzxEU1o9X0F/q/jKnvRg7PyPM68X1f4P6l4o0n4lW7Sf2RqV/4gTWdA1JSrNBNFZ2iRS4wcDzYXVgRkru9RX1p/wuzSP+fK8/75T/4qk/4XVo//AD5Xn/fCf/FVjLj7IJb4iP3v/IqPD+OhtTf3HwlJ8HfGN5o/gHxHqelznWNF1jWb7UdB0XVmtZGS+aU7obhXQkoSuASNyuwJHIPSa98NdQvfh9bajo3hnUrPW7fxPYeILjS9U1c3l1ei1kjGPOkkcK5ijAALY+UDjNfZf/C6tIGf9CvP++U/+KpP+F1aR/z5Xn/fCf8AxVR/r3kH/QTH7/8AgGv9h49/8u39x8dfFT4Z+IfH/i7wnqFrpFvbaZrFvBYeKoLuXdJFaQ3Md2kfyttbJWaE4z/rj2Fcd/wzd4n8SeGfiRpOoC10pl0lvDXhV7eVtn2ITvc7nXcQu9mhiPGQIOmDz97f8Lq0j/nyvP8AvhP/AIqj/hdmkf8APnef98J/8VQ+Osgbv9Zj94lkOPSsoP7j5Hh0fxf8RPiF4H1fV/CsfhS08KveyztcXcdzJdSy2rQKkDRnIj/eOxLhSdi/KKw/iD8IfEOtfsaweArHTkPiEWWnRPZrKiDfHdQSTfNnGcI5znk/WvtT/hdWk/8APnef98p/8VS/8Lq0j/nxvP8AvlP/AIqj/XzIOuIj9/8AwA/sHH9Kb+4+a/gv4Y1r4f6XeeEL+2WXSdLkzpOqxup+02zszBJV6+ch4Zv4htbJJNcl8Q/DGt+OvF2npb/D8aZq+n6hBPbeMlvIQI7dJkaQAr+9O+JCpQrj5sE45r7B/wCF1aP/AM+V3/3yn/xVJ/wurSO1lef98J/8VT/19yFq31mP3iWQY7m5vZv7j4n8cfA3XvF3xQ16E+Yng67t7jWYpFmjA/tZ7L7Ci7NuVCo0km4fxlTnjFZA+C/jTWvC/h3VtUtEk8V3nxE03xJq0TyRZtrK2ZYY0Drw+yCKNvXLt1PX7v8A+F1aR/z5Xn/fCf8AxVL/AMLq0n/nyvP++E/+Kqf9esgvf6xH7/8AgFf2Hj7fA/uPjjVPhv4lvl+L/hBdPki0/wAYvcX1n4gjuIxFE0lnDAsLpnfnfE2SFI2nrWjrf/Ca/EH4ba34dvfAqaDKbD7PhtQiljmmVoxtiVR/qiPM+Z9p+VRt54+tv+F1aTz/AKDef98J/wDFUn/C6tI/587z/vhP/iqr/XzIP+giP3/8AX9g47/n2/uPmibwjqkvx+0TxItvnSLbwxcafJPuHEz3ELquOvRGOenFYHx8t/FfiTVNJ8PWnhC+8Q+CpEF1q32G8gie8YMQtowkdcR8Bnx94EL03V9bf8Lr0f8A58rz/vlP/iqP+F1aR/z5Xn/fCf8AxVH+vmQ2t9Zj95K4fx17+zf3Hj/hm6mvNBsZbjS30OZowDp0jIWt8cBMoSvAx0OK1K9M/wCF1aR/z5Xn/fCf/FUf8Lq0j/nyvP8AvhP/AIqtFx9kP/QTH72Z/wCruNevI/uPM69s+Gv/ACJ1n/vSf+htXPf8Lq0j/nyu/wDvlP8A4quz8Na9D4k0mO+t43ihkLALIAG4JHYn0ruwnFGW5zP2GDqqUlrZdhf2TiMD+8qxaT0NqiiivXKOK+Nf/JHfHP8A2A77/wBJ3riP2OP+Tf8Aw/8A79x/6Oeu3+NX/JHfHI/6gV9/6TvXC/satu/Z/wDDx/6aXP8A6OevLl/vkf8AC/zEe30UUV6gwr5D+Mh/4uVrf/XVf/QRX15XyB8YP+Sla7/12H/oIoA46u6+CH/JUNF+sv8A6KeuFruvgf8A8lP0X6y/+iXoA+g/il/yKsn/AF2T+deNV7L8Uv8AkVZP+uyfzrxqvXwnwHgYz+L8goooruOEKKKKACuO+LngOX4lfD/VNCtr86VqEnlz2V+qhjb3MUiyRPg9g6DPsTVWx+Ovw+1LxZL4Yt/F+lPr8U7WzWDXAWTzg2wxjOMtu4wMknpXd1GklYrWLTPJbnSPiN8QvDuq+GfFGl+H9DsLuzmsrjULC/muXuN8LoHiiKJ5Q3lGw7MduV6ncM+z8EePPGureDLfxnY6HpuleE75NR+06bdyTyapcxQSQxOqFVECZkaQqxkP3Vz1J9qqCS+tobqC1kuIkuZwzRQs4DyBcbiq9SBuXOOmR61PIurNFUfRHh2mfAXWJP2bYvAd1cWNvrkF699DJIrTWxddQN1GrgFSVYYVscjJ6456v4X+CZNJ1q71W+8BaD4Uv/s/2VLvTb43U8sZIZkJMSYTcAcZOSBwK9Noo5I9Be1k013CisjxR4s0XwTo82ra9qlrpGnQ/fubuQIg9snqT2A5NakcizRpIjBkcBlYdwehrUys7D6KKKACiiigDrvhd/yNkf8A1yf+Ve1V4r8Lv+Rsj/65P/KvaV6V4mK/iHvYP+EfL37QX/J0Pwd/67f+1RX1Afu18v8A7QX/ACdD8Hf+u3/tUV9QH7teBhf4lX1/RHoHln/NbB/1y/8AadepV5b/AM1sH/XL/wBp16lXzvDH/MX/ANfZfoenjv8Al1/hQ+iiivtzywooooAKKKKACiiigAoopG6UALRTd1L/AA0AecfG/wD5F+y/6+1/9Aeu9s2H2aIf7Argfjfn/hHbLHX7Wv8A6A9V4PipfRwon/CPXh2gDIVv/ia/MZZvhcrz3E/WW1zRjayb/I92OFq4jCQ9mr2b6pdu56hRXmX/AAtq+/6Fy8/Jv/iaX/hbN9/0Ll5+Tf8AxNe1/rdlX87/APAZf5HN/ZuJ/l/FFD46ddI/7a/+yV5V93Fdh8QfFU/ib7F5+nzWHkl9vmg/NnHTgdMfrXHqfTmv5X44xlLHZzUr0HdNLo108z9JySlKjg4wmtbsWiiivz4+gDp1qK4uobOFpJ5Y4Ix1eRgoH4mpD93NeSa7omm+PvjtcaL4igt9V0rS/D8N5babdIHiM09xMjysh4YhYkUZHGTjrXt5bgYYyU3Vk1GEXJ2V30Wiuur7nLWqOmlyrVux61HIJEVgwZSMhgeCKXPpXmmq3EvgXXPC3gjwZZWGlR6oL69aa5jaWC1iiMbOqxCRCSzzqAAwCgHjGBXH638bfFWm/ZtHtodIm19PGUPhi4upYJVtXjltnnWVIxJuVgvlggsRkN6jHuUeGcRjLTw0lytXV9HyptczSulqu7ZzSxkKek1r+F+x7574pOOuMV4P8QfFXjKbwT8S9Jl1DTLfU9DSF49Rs7WWNZoJYN+3YZiUkDA/NuIx/DXS694m8b6b408IeFrS90OS71Syvbq8vprGbYvkvCEEcQnzyJsHL9RnjoR8M1eSLVWN3fq9lHmvt2+fkJY6N7cr/p2/M9T5+tV49Qt5rya1SeN7mFVaSFWBdA2dpI7A4OPoa8n1j4geNJNE8aeItKGjRaT4eluEitLq2lkmu1tgTOTIsiiLO1lUbGxjJznAh+F+sQeJPjR4y1eBHSC+0HRLqJZBhwsizsAw9cEUpcN1qOFrYirNe4r6a63jo/lK+lxrGRlOMIrf8tdfwPYZLyGGRUeZEkbojMAT+FRjUrU35sPtMJvPK8/7PvHmeXnbu29cZ4z6189/E5dN1D4+avpt94KvvGc9x4Wtls47W2R1t5DcXY3NM7KIM8YfIPGR0qr4Hs9V8I/Gq0g17ULVtY074Xwi7vbyQLCsiXsm55Hz90Y5bPQE169PhOnUw3tlW9/kU1Gy1uk9NW7K9m2lrtcwePfPy8ul7XPpfk+9L0zXgGlfHvWJta1qxW4tNZt4fCl14gs9QTRrvT42lgZF2qJmInibzFIdCB8vU5BGrZfFzxPoniDwND4lh0yaz8V2F3dLDpsMiyWbw24uMGR3IlBTK8KvPtXnVOEMxhvy3auldpuyu7JpbWe9vyNo5hSltse1DNHrXhPgH44eIPFz+Fb/APs+4utM1ubEtrb+G9RhFlDIrNHIbyQeTIF+QMwAB3ZXpXu3vXh5tk+JyeoqWJtd9r9HbrY6aGIhiE5QCiiivnzrDq1dt8If+RwX/rg/9K4kAZzUS/Ei++GeoW+pWPhm/wDEruHiaGxUkxjg7mwCcfhX2PCT5c7w0nspI8fN7fUqnofWVPr5c/4bI8Qf9En8Qf8AfuT/AON0f8NkeIP+iT+IP+/cn/xuv7Z+v4fv+DPxm6PqKvlf4V/8nyfEj/sFN/OzqX/hsbxB/wBEn8Qf9+5P/jdct+zT4qn8b/tYeNNbuNMn0aa80eR2sbkHzIsSWq4OQOuM9O9clbE061WlGL6/oFz7M7mloor3hhXkn7S3PgOy/wCwlH/6Llr1uvJP2ls/8IHY4/6CUf8A6KloA+aqKKKAPsz4crt8B6B/15RH/wAdFdJXP/D3/kRfD/8A14w/+gCugoAKKRulGaAD0rzv41/8izbf9fK/yavQ89K87+Nn/Is23/Xyv/oLV8nxVLlyXEt/yno5f/vdNeZ2ug/8gWy/64J/6CKv15Tp/wAXHtbK3iGi3LiONV3BuuBjPSrH/C4pP+gHdfn/APWrzcLxZlUaEIubukvsvt6G08txLk/d/Ff5npteXfHD/jw03/rq/wDIVJ/wuST/AKAdz+f/ANauS8feNG8VW1qhsJrMQuWzIeGyPpXy/F/EuXYzJcRQoTblJK3utdV3R6WV5fiKWMpzlHRPuu3qcX096Wk9D3pa/kln6oFFFFIBGbA5PFAIOMcivGvGEMXjr9obSvCGsBbnw7p3h1tc/s/JCXVy1z5AMy5w6IqkhcfefJzwBo+INR/4VrqnhXwV4K021srzxHc3k0cl0XktLRIYhJK3lhwTklAEQqPmJ4Ga+z/sH3aVNT/ezjz2t7qjZu7d90lfReW55rxVuaTXup287+nqeqdRmlzkV8+eJPjt4t8PNf8Ah8afpF54psPEmlaI8y+bHZ3Ed6iujquS0bDO05LgYzz0qXx940+INr4M+J+kT3WkWeuaJo0eqW+p6fFMitbypcgqFMm5JlNu2H3Ecg7e1dsODsdJx55RSk1bXo3FXtbb3l567bmbzClZ2T0/4P8Ake/UV4dr3j34h+Hda+GvhSGbw9ea34mjvzPfS2s6QRCCKORGCeaWJwzZBbk4wRW5qvjPxre6l4oXQ00SCz8N+XHcC/hmd72X7PHO4Qq48pdsgUEhznnGK45cMYmLj+8haSund7c3Knt1ei/GyNPrsLbP+lc9P+2QG8Nr50ZuQgkMO4bwhJAbb1xkEZ9ql3Be/FeHeAfFEHjX49Qa/ao8VtqfgDT7yNJB8wV7ydgD+dcr8XptFm/aaFjr/h7VPFNjN4KAi0/TbKS5kWVr518wbP8AVHbkeYSuMjkZr1KPCbnj3gqlRpqmpvS7T6rdLT1MZY61L2qXWx9Km+t/tgtPPi+1FPNEG8bymcbtvXGcDNT8+lfL/wAJtL8TeF/i54UtPFt2s3iK1+HNx9pmuJw4U/2ghRZJBwSq7VZgTnaTk9a7bwf8aL/V/HlxoL6no2v27adc3sd1pFncRQxPE6DYJnZo7hSJB80ZGCpyOeJxvCFajK2EqKolHmb6bvZ7W0vq0Onj4tXmra2Pas0d68Q8H/FnxhdT/D6816DRjpnjJPKgt9PjlWe1l+ztPuZ3cqykRsNoUEZHJwc53hX9ojUvFV9pt/YWsl/o+oah9mjsLfQb/wA5IDJ5YnN0V8ggY3kAYAON2RzwvhPMVzWs1Fbp3W7Vtt7p76abmn1+jpvr/wAD/M+gKKKK+J20PSCiiipHqdb8Kv8AkdrP/ck/9BNfQA6mvke6+JknwpvrLWU0O811ctG0VpxtyuMk4OOT6Vd/4bof/onesf8Afz/7Cv6w8NMRToZM1N7yf5I/KuIpL658kfV1FfKX/DdD/wDRPNW/7+//AGFH/DdT/wDRPNW/7+//AGFfrf1/D9/wZ8tdC/tRf8nD/BX/ALCUP/pXDX1V6V8DeMPjQ3xl+PHwpuToN1oP2HV7aPbdNkybrmI5HA6Yx+NffXpWOCnGpUqzjs3+gC0UUV7Azyz9ov8A5J+n/X7H/wCgtXzFX09+0Yf+LfJ/1+x/+gvXzDQAV9hfCfj4c6B/16r/ADNfHtfYnwrG34d+Hx/06IaAOsooooAKa33aN1IehpPZgeXeDMf8LQ18/wCy/wD6GtepV4dF4mbwv8QtcuRaSXZkdk2R9R8wOentXR/8Ljk/6Ad1+f8A9avyPh7iHL8vw9WhXm01Un0b3k+qR9JjMDXrTjOnG65Y9V2R6dTW+6a80/4XFL/0A7j8/wD61N/4XHL/ANAK6/P/AOtX08uLsps/ff8A4DL/ACOD+zMV/L+K/wAzzPxN/wAjFqn/AF8Sf+hGszpVnVbz7fq13cFGiM0rPsbquTnFVjya/i3MqiqY2tOOzk3+J+vYaLjQhF9kFFFFeUdQZ9DTfMG7Gef1rP8AEWpvoug6nqMcXnyWltLcLH/fKoWx+OK8l+D/AMMNE8UfDnw74n1+OTWvE+rw2+t3OszSPHcrM+2VUR1IMcafKgRcKQvIwTX0uBy2lWws8XiJuMU1FWV22033WiscNSs4zVOKu7XPbKPxrw27+MPi2/8AB2tfEDRLXR5vCOly3W3T5kmF5eW9tI8c0ol3BY2/duVQo3C8n5uLXiz4neMbe88fyaJFog07wjHFesb6OV5LqE2a3DxDawCN1w5yBkfKcZPpx4Uxsnbmiuj12d0uV6b+8vLz0Zh9fpLo/uPZ880cDg96+fdJ8aeL/F/x98MzaTqlvZeGtT8Hw6ydMuo5XxG88e7hZAvnYbAfGAMgg9atD42eKdH+HviTx5rVppf9g6fPd2VpZ2iSfaZpkvTawOzFtqKWwrDBPG4HnaNq3COMp8ijOLclHS9neTaUdt7oUcwpy1aaWv4dT3dmCpuPQU23mS4gSaGRZYnUMkiHKsDyCD3FeY/8JR4t0fX7fQPFP9kXsWsadeTW9xpUUsBtnhRS0bh3feGD8MNv3Tkc1L4Ddk/Zu0FgSrDwrEQw65+yCuCtkE8PRVSc07yilbVNSvr0ejVrWNI4tTk4xWyb18rf5npe4beDk0y3uI7uFJYZUniYZV4zlT7givlv4H6YuuT/AAp1Pwz4d1jRZLHTIz4h1i5tJLO0v43syu3DY+1M022QSDIGN2Tla6/wv41k8GfA/wAFzR63pWjSTQ7R/aFtLdyTYJ+SGCJleRskZ25wO1e1j+Enhqjo0KvNO6VmrWvzbpXeyuvJnNSzDn1lGytf8v8AM96ADfUUcDNeBaL8cvFPja3+H0Hh+10qG88RDVEuri+hm8uNrNlTekeQ2CSTsbBxgEg5rT1z4za94W8GQHU7WzfxDJ4gbQGuLK0uLi3UhHl88QR7pWHlxn92CTk/ewCa87/VLMVNUly8ze19VZtX22un5+Rt/aFG19bf8N/me1Y6UfWvPvhJ4+1PxpHrUWpWjD+z7lY4NQ/s65sY7yNkDBlhuAHUqcqeWBIyDzgeggivmsfgauXYiWHrfEu3md1Koq0FOOwUUUV5huFe9/CX/kSLL/fk/wDQ2rwTnmqum/tZy/D+F9BbwNqt8bSV1FyrbVkBYncBtPHPrX7P4X1Y0c0qSltyv80fG8TSX1aC8/0PrqivlL/hup/+ieat/wB/f/sKP+G6H/6J5q3/AH9/+wr+o/r+H7/gz8zuj3j41f8AJHfHP/YDvv8A0neuF/Yz/wCTffD3/XS5/wDR715F4+/bKfxR4H8RaP8A8IJqloNQ064tPtDuSsXmRsu8jZ0Gc/hXrn7Gf/Jvvh7P/PS5/wDR71z060K2LTg72X6ge4UUUV7Ywr5A+MH/ACUnXf8ArsP/AEEV9f18f/GD/kpOu/8AXcf+gigDj67r4H/8lQ0b/tr/AOiXrha7v4Hf8lO0b6y/+inoA+gvil/yKkn/AF1T+deNV7N8U/8AkVJP+uqfzrxmvYwv8P5ng4z+KFFFFdpwBR3FFFAHxhdRa9d6Ba2fiBNKtPhpdfEG8WXVrNZG1OzmGrTtEzMRsiRpwsZlXlVfHG416LceLvE3iyw+MOtf8Jfc+FpPB99dWWnWdvHB9nRILdZVnnEkbM/mMxzggbVG3nmva7rwD4evvDd74fuNHtZ9FvZZJ7iykjBjkkklMrsR6mQls9jyMVleIPgz4H8Wa6us6v4Y07UNTAUNcTQ5aUKML5nZwB03ZxjjFcyptHZ7aMt0cZ8KfidrHinXL6XXLmOygbwjoutC0ZVjS3mnS4NwwJG7aCqAgk42jpzXF6FJqnjbxD8Adav/ABLqEOo6n4dvJ5ngECh5PItncgNGeXycgcYUYxya9x8R/Czwj4w1ix1XWfD9jqOoWKhILiePLqoO4KT3UEk7TkZ5xmotW+EXg3XdM0LTr7w7ZXFnoW0aZGUx9kCgKBGRyBhQCM4OBnNP2cu4vax6I8IufiL8TvG2rfEV/DWm6+99oGtT6XpUenyaWmnDyVRl+0rcyrMxkySzKAArrs5Br0/wvdeIvE3xn8bQ3PiK4h0HQJ7OO10iCCILI0tpHI/mSFSzKCSQoI5Y5JGAvSeIPg54J8Ua0dX1Xw1YXmovjzZ3jwZsAAeYBgSYAAG7OK6Wy0Sw0/UNQv7a1jhu9QdJLuZRhpmRAilj7KoFNQlfVilUi1ZI8r/au8N6VqfwR8Y6teadb3epabol6LK6mjDvb+ZGA5Qn7pIUAkc4yOhNeq6L/wAgex/64R/+gisbxt8NPC/xIgt4fE2jW2sw2+/y47oEqu7G7jPfaPyrQ8MeFdK8GaPDpWiWMenadCWKW8OdqliSevua05XzXMeZciia1FFFWZhRRRQB13wu/wCRsj/65P8Ayr2qvFPhb/yNkf8A1yf+Ve114uK/iHvYP+EfLv7QX/J0Pwd/67f+1RX1Afu18v8A7QX/ACdD8Hf+u3/tUV9QH7tfP4X+JV9f0R6B5Z/zWwf9cv8A2nXqVeW/81sH/XL/ANp16lXzvDH/ADF/9fZfoenjv+XX+FD6KKK+3PLCiiigAooooAKKKKAEpsjBVyTgU6obm3juoXilRZI3G1lYZBHoRUSvZ8u4GFqniVtJuAJLaSaGTAjeD5yXz90jt9enWtLR7i6urNJLuOOGVif3aNu2jPAJ9cYz71yV5puj6XrUsNxoUcls0aNG8NlvAbJ3AkD6V1OhfY/7Pj+w2/2W352x+UY8cnPy4GOc18zgMRiKuKnGtNWV9Fe6d/TVdjrqRjGC5V8zjPjh/wAi7Zf9fa/+gPXf2UY+yxfL/AK4H43/APIv2X/X2v8A6A9egWX/AB7Rf7grhwMVLPcXzfywN6v+6U/V/oS+Wv8Ado8pP7op9JX2Xs4fynnXPJPjkFVtHwMcy/yWvKx7V7F8YNDv9ZbTPsVpJc+X5m/YM7c7cZ/I15x/wg+vn/mFXH/fNfyPx5leNr55VqUaEpRdtUm1t5I/TsjxNCngoxnNJ3e78zE2mjaa3P8AhB9d/wCgVcf98Uf8IPrv/QKuP++K/O/7EzP/AKB5/wDgL/yPoPruG/5+R+9GH+OK4vx18L7DxvdW98uo6poOsW8Zhj1XRrnyLjyiQxjJIKspIzhgcHpjJr1D/hB9e76Xcf8AfFH/AAg+u/8AQKuP++K7cJgM5wNT2tCjOMv8L/y1M6mKwlRcs6kWvVHkWr/BnS9W0XS7MatrdrqWmNK9rrsN8TfoZf8AW/vWDAh8DKkY4GAMDCw/BXQYtO0K1aW+mm0nV49cF5PPvuLq8SNk8yZyDu3BzkDA6YwABXrn/CD69/0Crj/vij/hB9e/6BVx/wB8V6iq8ScvKoTtr9l9d+m2r021MOfAXvzx+9HnOp/DjSdY/wCEpW5+0OniO2S2vVWTbhVjMYKEDKnBzn1AqtoPwxtdF1HQdQuNW1XWNQ0a2ubWG71K4WSSVJ3Rn8whRkgxqBjGBxg16f8A8IPrv/QKuP8Avil/4QfXf+gVcf8AfFc0YZ+qbpeznyv+6+3L27aFe2wXNfnj9673/M8a1z4F6Lr2u3t82pazaWGoSedqGi2t6Usr1yAGaWPGfmAUEKwDbeQcnPT6T4H03RfFmq+ILbzVvdRt7a1ljLDyljg37Nqgcf6w55PQdK73/hB9d/6BVx/3xR/wg+u/9Aq4/wC+KqquIK1L2NSnNxta3K9tPLXZeeiCNXAxfMpxv6o4iDwnZW/jC88SAym/ubKGwkUsPL8uKSR1IGM5zK2eewrH1r4UaD4i8U6lr2oJcTXOoaG3h65hEu2J7VpGkPAG4NlyMg9Pzr0//hB9e/6BVx/3xR/wg+vZ/wCQVcf98VnSo59Rn7SnTqKVlG9nsrWW3khutgpLlc4233R4xY/AfSbW8uLu61jW9XvJ9HuNCe51C7WRxaTFCVAChQymMYbHOTu3cY27r4X6Peav4O1CVrhpfC0U0Nkm9djrLAIG8wbfm+Udsc16b/wg+u/9Aq4/74pP+EH13/oFXH/fFddSrxJUkpyhO6uvhfVWfTqmRGeAirKcfvR5P4T+Edp4L1KGXTtc14aXbhhb6HLfb7OHK4wqld5A5IVnKgngDjHd9uTW7/wg+vf9Aq4/74oPgfXv+gVcf98V52MwmdZhNVMRRnJ9+V/5GtPEYOkrQqRXzRhc+tHNbv8Awg+u/wDQKuP++KP+EH13/oFXH/fFef8A2JmX/QPP/wABf+Rt9dwv/PyP3owzha7X4P4/4S9ec/uH/pWN/wAINrvfSrj/AL4rrPhj4Z1XS/EyzXVjNBF5LDfIMDPHFfV8K5TmFHOsNUqUJKKkrtxaX32PKzPF4eeDqRjUTbXdHsyj2pcD0pF6GnV/atkfko3aPSvlj4Wj/jOT4j/9gpv52dfVFfLHwr/5Pk+JP/YKP87OvLxn8Sl/i/QD6oooor1QCvJP2lh/xQtl/wBhGP8A9Fy163Xkn7S2f+EDsv8AsJR/+i5aAPmqjGaKRulAH2j8P/8AkRfDv/XhB/6LFdBWB4C/5Ejw9/14Qf8AosVv0ARsRtJJxWBq3iIaRcDz7eRrZl+WWEbzv5+UqORnjB/lW3dQR3VvJDKu+ORSrL6g8EV5zqeg+HNG1hra50VmtWiV43hilkAbJBDYz7Y+h9s/PZtiMTQhF0LK7td309UkzqoQhN2nf5f8Odzo17c31uZrm3+ysxykZILBe27Hf2rjvjZ/yLNt/wBfK/8AoLV03hGPTo9OYaXA9tbb/uSRshz34bmua+Nn/Is23/X0v/oLV5OeSlLh+s5yu+Xff9DqwVljIW2udloUanSLL5f+WKf+gir/AJaddoqloP8AyBbL/rgn/oIrQ9K+lwdOn9Wp+70X5Hn1G+dkexf7orzD43Iq2GmkDH71/wCVeot09686+MGkXmq2NgtnbyXDJKxbYM4GK+V40wzrZFiIUoXk0rJK73R6eUzUMbTlJ2Vzxajn1rb/AOEL13/oGXH/AHxR/wAIbrv/AEDLn/vk1/HH9jZj/wBA8v8AwF/5H6x9cw//AD8j96MTmjmtr/hDdd/6Bdz/AN8Gj/hDdd/6Bdz/AN8Gj+xsx/6B5/8AgL/yH9dw3/PyP3o818afDGw8Zalp2rfbdQ0PXNPVo7fVdJlWO4EbEF4m3KyuhKj5WUjuMGs68+DNlqFhpH2nXdbm13SbuS8svEL3EbXkUkgKyAZjMexkOwps24xxnmvXD4L13/oGXP8A3waP+EL1wf8AMMuv++TXu0ZcQYeEKdOnNKO3u7LXS9r21em2r0OSU8FNuTnG78/+CeOf8KJ0N7eA3d9qd/qK67a+IbjU7iWM3F1dW5HlLJhAojVVVNiKoAHGCSa3ta+G+ma9deJZrx7hl8QaXFpF2iuABAnn4KcZDH7Q+SSei4xzn0b/AIQzXf8AoF3P/fBpv/CG67/0C7n/AL4NaVK/EdSScozuv7r7p6aabL7hKWBSspR+9f5nlGn/AAgs7fWPB2rXutavq+o+Fo7qOznvZIiZFniWJhLsjXdhUGCMHOSS1N8RfB2z1zVtYvYNc1nRY9aWNNTtdOmiWO62KEBJeNnRigCExspKgCvW/wDhC9dH/MLuf++DTf8AhDdd/wCgXdf98Gj2vEPtFV9nK6Vvg0tfmta1t9fJj58Dbl5429f+Cee6X8OdJ0TxcviKzE0Fyukw6KlspXyEt4pHkTAxndmQjOcYA4707/hX+nf8LIPjbzLj+1jpI0by96+T5Hneduxt3b93Gc4x2716B/whmu9f7Luf++DTv+EN13/oGXOP9w1zSjn0puo4TbceV+6/h7bFqrg0klOO991uebar8MtJ1rxnL4lu3uHu5dFm0GSAOBC1tLIsjHAG4PlcZDYwTx3rM8O/Bu00HUNPvJNe1nVpdP06TSrRL2SHZDbvsyAI4ky37tfmbLepNetf8IXrp/5hV1/3wad/wheu/wDQLuv++DW8KvEVOn7GMJ8trW5emum3myJSwMpcznG/qv8AM8ttvhLpNpZ+CLdLi8MfhF/MsDvTMh8h4P3vy8/K5+7t5A+lJoXwv/4Rq+U6b4i1m10ZbprsaKrW5tVZiWZATD5oQsSdokx+HFepN4L13/oGXQ/4AaX/AIQvXf8AoGXX/fBpc/EHK4unNp3veN9231W929d9Q58Do+eP3/8ABMSitn/hDdd/6Bdz/wB8Gj/hDdd/6Bdz/wB8GvB/sfMv+fE//AWdX13Df8/F96MXn1peeOa2/wDhC9d/6Bd1/wB8Gm/8IXrn/QLuf++KP7GzH/oHl/4C/wDIf13Df8/F96NP4U5Pjazz/ck/9BNfQG0ema8T+G/hnVdN8W2txc2M0ESq+53XAGVNe3L71/U/hrhquHyeUK8HF8z0aa7dz804gqQq4tSg01ZbBtHpS7R6UtFfrXLHsfNHyj+1AP8AjIb4Kf8AYTh/9K4a+ra+U/2oBu/aI+Cg6f8AEyhP/k1DX1YK83Cr99V9V+QC0UUV6gHln7Rn/JP0P/T7H/6C9fMVfTv7Rn/JPU/6/Y//AEF6+YqACvsf4Xrt+Hvh8f8ATnH/ACr44r7J+GYx8P8Aw9/15RH/AMdFAHS9arXk7Q27tGqvIFJVGbaCccDParBrnvFnh2w1ayluLmzS4ngicx79xwcZ6DrXHip1adKUqSTa7v8A4DLglKSUtivD4qnv5ktrSxkFyrATfaBtSHnnJ/iOOmK6jqK810e38Js1o/8AY1xDd5U/NazfK/HfGOtelfwnFeRlNevXpylXkm/K+n3pHRiIQhJKCa9f+HZ5b4N/5Khr+eflf/0Na9S8lP7o/KvL/Bv/ACVDX/o//oa16kK8fhOEZYOq2v8Al5P/ANKZ1Zj/ABY/4Y/khPKX0prRptPFS0xvun0r7SVOFn7p5d2fMvib/kY9U/6+JP8A0I1mZC11PiDwjrM2vajJHps7JJO7KypwQWODVH/hDNd/6Bdz/wB8Gv4XzTKMfLHVpRoSacn9l9/Q/ZcNjMOqME6i2XVdjD49KOK2/wDhDdc/6Blz/wB8Gk/4Q3Xf+gXc/wDfBry/7GzH/oHn/wCAv/I6fruH/wCfi+9GKylsg8g9jXmumfArT9CuwukeIfEOk6CLk3K+H7O8RLJSSSyr+78xULEsUEgXJ4AHFezf8IZrrf8AMLuT/wAANN/4QvXf+gVdf98GvUwlHO8FGUKFKaUt1ytryeq3XR7oxnXwdRpynG680eL33wC0e+l1G3bV9aTw/qN6b+88PR3KfYppWYs4OYzIEZjuaNXCk9scV0N/8M9Nvl8ZrJNdKviuD7PfbGUbF+zi3/dfLwdgzznn24r0f/hDNd/6Bdz/AN8Gnf8ACF67/wBAu5/74Nds63EVRpyhPT+75p9tXdLV66IzU8DHaUfvX+Z5JZfBnS9J1bwvqem6lqdhe6DpUeiJJHJE32qzQoRHMGQjrGDuQIck84wBeh+E+hL4Dv8AwhdRzX+jXstzLMtw437p53nbDADG15DtI5G1ecjNel/8Ibrv/QLuf++DTv8AhDdc/wCgZdf98Gpq1eIq3Lzwno017r3TbWtujbsCngVtKP3o8s0P4Vw6bqg1HU9f1fxJfRWLWFrNqkkJ+zRP/rNgiiQFnwuXYFjsAzjrt6V4Ps9I8D2nhaF520+2sF05JJGBlMaxiMEkDG7A9MZ7V3H/AAhWu/8AQLuv++DR/wAIZrv/AEC7n/vg1jiI57ire1pTdmn8Nkmr2skrLd/eVGrgqfwzj96ON8K+G7fwf4W0jQrN5pLXTLSGzhkmIMjJGgRSxAAJwo6AD2rkV+CenWkPhv8AszWNW0m80K3ltLa9tXgaV4ZCpkRxJEyHJRTkKCMcV69/wheu/wDQKuv++DR/whmuH/mFXR/4Caqj/b9GpKtCnPmk7v3W7uzWt12bCVTBSSi5xsvNHknhT4J6J4RuPDk1rdajNLoLX72zXM6uZDeOHmMh25bBHynI981c1v4U6Vrun3EElxeWtw2q/wBsQXttIqz2t0F2h4yVI6ZGGBBDMDkGvUf+EL10f8wu5/74NN/4QzXf+gXc/wDfBrR1eIZVfbOE+bvyvu327tk8+B5eXmjb1X+Zxnhrw/caDFcC71vUddmmkDmbUTEGQBQoVVijRFHGeFySTk1tfhW1/wAIVrnbS7n/AL5NH/CF65/0C7n/AL4NeVicuzXFVHVq0JXf91r8EjeGKwsFyxqL70YnNHNbX/CG67/0C7n/AL4NH/CG67/0C7n/AL4Nc39jZj/0Dz/8Bf8AkafXcN/z8j96MWve/hM3/FEWWeu6T/0Y1eP/APCGa7j/AJBdz/3zXs/wzsrjTfCVpb3MLwzKzkxsMEZdiK/X/DLL8Xhs1nOvRlFcr1aa6rufJ8RV6VXDRUJJu/R+R1u0elLtHpS0V/UPLE/OzifjV/yR7xzx/wAwK+/9J3rhv2M/+TffD3/XS5/9HvXdfGv/AJI945/7Ad9/6TvXC/sZ/wDJvvh7/rpc/wDo9681/wC+R/wv8xHt9FFFeoMK+P8A4v8A/JSde/67j/0EV9gV8f8Axe/5KTrv/Xf/ANlFAHH13nwNXd8T9I9vNP8A5CauDr0D4DqG+JmmHuqSn/yG1AH0P8QdLu9X8Pvb2cJmlMittUgcA+9eX/8ACAa//wBA1/8Avpf8a93x+VGPeuinXlTXKjjq4WFaXNI8J/4QDX/+gbJ/30v+Ncxr1xJ4Z8WaF4bvraaPVda3/ZIlwQdoycnPFfTvSvm744f8nRfCD6T/ANawxOYVaVNSja91+LMfqNPuzb/4QHX/APoGyf8AfS/40f8ACv8AX/8AoGyf99L/AI17sKK6/rU+wfUafdnhP/Cv9f8A+gbJ/wB9L/jR/wAK/wBf/wCgbJ/30v8AjXu3FHFH1qY/qNPuzwn/AIV/r/8A0DZP++l/xo/4V/r/AP0DZP8Avpf8a924o4o+tTD6jT7s8J/4V/r/AP0DZP8Avpf8aP8AhX+v/wDQNk/76X/GvduKOKPrUw+o0+7PCf8AhX+v/wDQNk/76X/Gj/hX+v8A/QNk/wC+l/xr3b/PWij61MPqNPuzwn/hX+v/APQNk/76X/Gq114T1SxkiS5gW3eU4jWSZFLn0GW56j8698c8Y7V5p8VePEPhf/r4P/ocdeLnGeVcswrxEYpu6VvVpHThsrp4iqoOTW/4K5y//CA6/wD9A2T/AL6X/Gj/AIV/r/8A0DZP++l/xr3SP/Vr9KdxXsQxtSUVI5fqFPuzy34f+FNW0nxElxd2bQwiNgXZlPJHHQ16nRjFLWFSo6j5mdtKmqUeVHy7+0F/ydD8Hf8Art/7VFfUB+7Xy/8AtBf8nQ/B3/rt/wC1RX1Afu14+F/iVfX9EbHln/NbB/1y/wDadepV5b/zWwf9cv8A2nXqVfO8Mf8AMX/19l+h6eO/5df4UPooor7c8sKKKKACiiigAooooAKRqWkagDiteK3mty213q02lwRxI8QglERcnduOSOQMDj3rY8KXkl5pYkkm+0hZHRJsD94oYhW445HpWJ4r1A2uqLFBcedcmMEWLWnnqcnAbIxt/E4rofD81xc6bG91aLZTcjylYMAASB09v518bgpp5lUhfVXvu93pd3srdjuqL90n6HHfG/8A5F2y/wCvpf8A0B69Bsf+PeL/AHBXn3xw/wCResv+vtf/AEB69Bsf+PeL/cFRgP8Ake4v/DD9TSr/ALpT9X+hYooor7U80btG7NG0DtVDVNSOn+XiPfuz3xjGKpf8JK3/AD7j/vv/AOtXNOpTi7SA3Ngo2CsP/hJm/wCfcf8Aff8A9aj/AISZv+fcf99//WqPrFILm5to2j0rD/4SZv8An3H/AH3/APWrgfjt+0BZ/Af4U69461LSp9Ts9JWJntLVwJZDJMkShSePvSCqValJ2QXPW9o9KNo9K8mh/aE0UfBs/Em8t5tP0WLS21S4huPlnhCqS0RU4/eBgUx3bA71J8M/jpD8QPAcfiW+0mTwsVuLm0urHUrmPfazQTPDIjOp2nDIeQcVXtKdrgeqbBRsFcTqvjy9sbzRY7LRm1O2v7nyZ7mK6jRbSPyncSkNy4JULhcnLA9MkaK+M7ZriOANB50oYxx+cNzhThiB3wSM+man21ILnS7aNgrg/D/xX0/xJrHiHTbSCQXOh3gsbsSEAeYYY5vl9RtlXnjnPpWvb+Mbe6mmhgMMs0JAljjmDMhIyNwHIyDnmm61Nbhc6XYKNgrml8aW8lwIFaFpygk8tZgW2nIDY9Mg8+1Ivja0a+NiJLc3qoJDb+ePMCngNt6496XtqQXOm2CjYK5mXxpbRXEVvJJbxzzFljjacBmK8kAdSR3x0p03jKCG4ht5DDHPNny4mmAZ8DJ2jvgc0e2pBc6TYKNgrmn8aW8d4lo7QrdOpdYTMA5UEAkL1I5H5irP/CTN/wA+4/77/wDrUvb0gubmwUbBWH/wkzf8+4/77/8ArUf8JM3/AD7j/vv/AOtS+sUgubm0Ubaw/wDhJW/59x/33/8AWqzp+tG8uPK8rZwTndmqjXpydkFzU20tFFdQCV8r/C3/AJPk+I//AGCm/nZ19UV8r/C3/k+P4j/9gpv52deZi/4lL/F+gj6poqjql49jpt1cxQSXcsMTSLBDjfIQMhVzxk9Bn1ri4fjLoWrNoVvorTa3favteK1tVG+CHfsklnBx5aoQ4IbBLIVAJrvlUjHRsZ6FXkv7S3/Ii2X/AGEY/wD0XLXrK/dFeSftLf8AIj2A/wCoih/8hyVoB810UUUAfaPgL/kR/D//AGD4P/Ra1v1g+A/+RH8Pf9g+3/8ARa1vUANbkdK5HV7qWbxCbOTUjpsCW6ypsCBpWLMG5YHgYHT+9z2rra4jxpcJHeRxtcQzuyZXTZbXzy/P3ht+YenPHFfP5zLkw3O3omr+f9eR00FzTsbXhS8kure5R7j7asMxjS4wB5gAB7cZBJHHpXNfGz/kWbb/AK+l/wDQWrqvC91PdaeGn0/+zWBwsO4H5ex46fSuV+Nn/Is23/X0v/oLV4ecO/DlV3v7v9b6nZhP99h6naaD/wAgWy/64J/6CK0Kz9B/5Atl/wBcE/8AQRWhX1+D/wB2pei/I86p8TFprKG606qGqaidPVCE37jjriuqUlFXZmXPJWk8pP8AJrF/4SRv+eC/99//AFqT/hJH/wCeI/77/wDrVze2ohzG55a/5NJ5af5NYn/CSN/zwH/ff/1qP+Ekb/ngP++//rUe2pCubflrR5a15z8VPjVp/wAI/h7rvjHWLWafTNHtzcTpa4aRlyBhQcc5I6mqvg34+aR4y+GKeOYLW6sdKWCeW4gvYzHcWzQM6TxyIRkOjxupHqKr2lJq4+Y9Q8paPKWvKvg/+0Bp3xm8Iya/pul3umQxX1xp8trqaiKaOaFyjqQM9xXRa54+vNN/s42Wiy6uLq7jt5Ps88a+RG2czHcRuVcchctzwKTqUk7NfgHMdn5Sf5NHlp/k1gjxR0HlJk/9NP8A61Zll8SrHUPEGpaLCmdQ09IZJ42JACyBimDjn7pp+1pbiudl5a/5NJ5Sf5NYf/CUHdt8ld3pv5/lTV8WBuBHGT7SCj2tELm95aUeWlYX/CU/Nt8pA393fz/Kj/hKcEKY0Dc8eZzx+FR7Wl/SC5u+Wn+TR5Sf5NYf/CTN18lR2+//APWobxR5bANEik9Az4P8qftqP9ILm55S0eUn+TWL/wAJI/8AzwX/AL7/APrUf8JI/wDzwX/v5/8AWp+2ojubflr/AJNHkrWH/wAJI/8AzxH/AH3/APWo/wCEkf8A54j/AL7/APrUvbURXN3ywO1OrHsdaa8uViMQXIJzuz/Stit4SjJXiMKKKK1A+U/2nv8Ak4r4Lf8AYRh/9Koa+qxXyv8AtML5n7RvwWXP/L/GfyuYj/SvqK4mMMMkgRpCqlgi9WwOg968vC/xa3qvyAnorgF+Mnh64sNGltJZry+1af7Pb6VHGftiurYlEkR5j8rDby2Au3GckZ75fuivQjOM/hYHln7R3/JP4/8Ar9j/APQXr5jr6c/aN/5EBP8Ar9j/APQWr5jrQAr7M+G67fAHh3/rwhP/AI4K+M6+zvh4MeAvDuP+gfb/APotaAOhPaqGrzSWul3k8K7po4XdFxnLAEir3pVW/YLZzkzeQBGx87jCcfe544681z1r+zlZ20ZUd0cRJqE1jZ2l5DrZ1C4mliT7ORHtl3MAwUKMjAJPB7c13q5ZPSvO9F1OT+0kezs4NaViFe+it/s+MEgncflbH+z716L/AA+gr5rI5qpCcou62truut33OrEJxaTPL/Bv/JUfEA/2ZP8A0NK9U9K8r8F/8lU8Qf7j/wDoa16p6VycI/7lV/6+T/8ASmdOZfxY/wCGP5IWk20tFfcHlDPLDdaTylrIuNfaGZ4xCDtYjO7/AOtUf/CSP/zwH/fX/wBauX2tJaBzG35Sf5NHlJ/k1if8JI//ADxH/ff/ANal/wCEkf8A54L/AN/P/rVPtqIXNry0/wAml8taw/8AhI3/AOeA/wC+/wD61eaa1+05oWg/GjRvhrd6ffrq2qQCWG+EY+yI5SZ0id88O620xUY52YpqpSlsK57N5Y9KXy1rxz4k/tLaJ8L/ABh4L8OanYXtxfeKr4WNq1pGXjhYsqhpW6KCzADuecA4r0T/AISgbiPLTPpv5/lR7SlvYLm/5aUnlJ/k1x2k+Oby+vdWhutFl06OzuBDBcTToy3abFbzVCklRlmXDAHKk4wRTfFHxLsPB/hjVtf1MeXpml2k17cyIdxWKJDI5Axydqk4o9rS7Dudn5a0eWtc9b+MY7m2iuI0QxSAFWL4zkZHanjxRuAIjQqeh8zrR7Wj2/AVzf8ALX/JpPLT/JrBbxUFTeY4wnTd5nH8qX/hJzt3+Suz+9v4/lR7aiFze8laTyk/yaw18UFs7YVbHHD/AP1qT/hKf3bP5SbF6t5nA/HFL21H+kHMbvlJ/k0eUn+TWEvicyKGSJWU/wASvkfyp/8Awkj/APPBf+/n/wBan7aiFza8tKPLSsT/AISR/wDniP8Avv8A+tR/wkj/APPEf99//Wo9tRC5ueWKVV29Kwv+Ekb/AJ4L/wB9H/CtXT7k3duspXaTnjOe9XTqQk7RGWqKKK6AOJ+NX/JHfHX/AGAr7/0neuF/Yy/5N/0L/rtc/wDo967v42f8kd8df9gK+/8ASd64P9jP/k3/AEH/AK7XP/o968uX++x9H+Yj3Giuc1zxtpnhvWNH03U5Htn1Z3htbiRCIDMoBETP0V2G4qDjdsbHIxUfhLx1pvjg30mj+dc6fazeQmo+WRb3LjIfyX/5aKpBUsOMg4JxXoe0jflvqM6evj74uZ/4WVr/AP13H/oIr7Br4++Lv/JSNe/67/8AsorQDkK9D+AYz8TLHjOIpT/44a88r0j9n4Z+I1t7QSn9KAPqiiiigBK+bPjd/wAnRfB76XH9a+k6+bPjd/ydF8Hvpcf1rzsd/DXqvzQH0mvSlpF6UtegtgCiiimAUUUUAFFFFABRRRQA31rzH4rf8jF4W/6+D/6HHXp3rXmHxW/5GLwv/wBfDf8AocdfGcWf8i1/4o/mj0sv/wB4Xo/yZ6dF/qxT6ZF/qxT6+up/BE80KKKK1A+Xf2gv+Tofg7/12/8Aaor6gP3a+X/2gv8Ak6D4O/8AXb/2qK+oD92vKwv8Sr6/ohnln/NbB/1y/wDadepV5b/zWwf9cv8A2nXqVfO8Mf8AMX/19l+h6eO/5df4UPooor7c8sKKKKACiiigAooooAKa33adSN0oA47xBpU3iDUmt1lsooYo1LSSW/mzDJP3ScBRx71r+GbWGx00W0N1JdrG7qZZm3Nu3HI/A1x+r6Npen615S6dLPG7wpNIbt1EZkcquBnLHJJ/AV13hhLSLTWhs4Ps8MM0kflgk8hyCc989fxr4zLnzY6c5JKeqerfXppY76ulJJPTTojkvjh/yLtl/wBfS/8AoD16BZ/8esP+6P5V5/8AG/8A5F2y/wCvpf8A0B6gg8UeN1iQJoMbLjAOeo/76rw5ZrTy3PcTz05SvGPwpv7ztWHlXwlNxaVm92l27np/NHPpXmn/AAlPjr/oAp+f/wBlR/wlPjr/AKAKfn/9lXtf604b/nzV/wDAGcv9n1P5o/ejr/En/Lv/AMC/pWLWfZ6t4i1C6VdY0yOyhVGKOp5LZHHU1oV1UcZDHx9tCLiu0k0/uZxVqLpS5W0/R3Ciiiug5wrwD9vTQdT8Tfsn+OdN0fTrvVtRmNj5VnYwNNNJtv7dm2ooJOFUk4HABNe/0nr6VUZcrUuwHyjD4L8QWfxivvhP/Y103gC716PxtHqRiY2i2rb5ZbHcoVQ4vkSQId5ZJDkDANVfENxqeg+GtE0a88G2N3pep+NfEc9zrHiHw9PrFrpSi6u5Ld/scbI7mcNtSQMFAJ67hX1z6GkKg8EDGelae1fVAfG/wH0HX18P/D2O60e9t7az+KOt3MMX9kTWEUFk9pqJjkS3fJghLSjapYgbwu4msL4afB0aT8A/AOsr4RmtPG8XxFjuJ737C66hFbnXpFYlsb1hMDZI4QqxJ4JJ+5euBS0/bPsB8vf8Ippmk+LPjnYaL4YTT/iBqf2q78P6jbaMY3fzNKhUNFdiPYpM4kz84+Zjnk1xHwD+Hav4g+H+qRapb6RqejaVcQ3Wjaf4AvdKuZ/NsirQXt287LIVcJJlgSzoCOTmvtik2hewFL2rsB8rfDX4Q2Phfwh+z3rVn4W+w+KI7yIarfCzK3iRvpV2JFncjeEDiIYc4UhAMcCue8Px33iL4seE9TXwpo/h/UbXxXcfabHTvB13DfW8G25RZrjU2cRyrIuxjiPBLgA8Zr7L9u3pRxyaPbPqgPkfQ/g7ZyfDfxxrN14Qz4s/4Ty8vbO+lsT9tEY1ZXjkicjeEKZb5TtIJPIJrpbyz8F2fxk+IjeO/B9zq+qX19Yvot5Noct/5lqLKBQtvKsbCLZOJyRuXBJY9c19JYGMYwKNoPJA/Kl7S99APguH4V614i1jxDo/iDxFaeGvGlx4tlvU1aH4fXd1qTlbtZLaW31HzygiMQhQArtjXcjD5ST96DOBS0UpVHOwBRRRWYBWjoP/ACEP+Ams6uO+I3ibxz4atbKfwL4bt/Ed0zstzHPLt8tMcFV3Lnn349Oci4zVNqTQz2mivl7/AIXB+0L/ANEvsfzb/wCO0f8AC4P2hf8Aol9j+bf/AB2u36/T/ll9zHc+n+PSvlf4W/8AJ8fxI/7BTfzs6sf8Lf8A2hf+iX2P5t/8drlP2aNW13XP2rvGl94l01dI1ubR3N1ZJ0ibzLUAdT/CAeveuKtio1alOKi1r1VgPpn4jaSsmjXurfbNShfT7SWZbey1A2iSlVLYZugzjG49K8/+H8Hw3a6tdX0nxmsOqatJDdTWq66pkuJiBhJEyGc54wRzk8c1614u1SHQ/C2r6hcW/wBrgtLSaeS3ChvMVULFcHrnGPxrxux0PV/CMmh+JdStPCN5p1/eWcX2Cy0hLeWzM8iIjxT7j5hRnU9BkAkYrtrRUaila/6DPfV+6K8j/aWbHgrT/wDr/X/0XJXri/dFeQftMf8AIm6cP+n5T/5DevTA+b6KKKAPtPwL/wAiR4f/AOwfb/8Aota3aw/A3/Ik+H/+wfb/APota3KAGEfLXIeJLGfWtSFrbpYI0cSu9xcRmSVMltu0DGOVPf8ACuwPSvPtas7Ow8QOUgvrmSURCdkvHRYVaRgD97JySflHAx2r53OpNUYpq8W7PW36XOnD/FdbnSeGbMabazW322S+kjfEjynkMQDgeg5H51zPxs/5Fi2/6+V/9Baup8Pw2lmt3b2kbJ5c2JC7lizEA5ySSeCPyrlfjZ/yLNt/18r/AOgtXiZ1yw4drJLRR6Xez+9nZg/exsPVHa6D/wAgey/64p/6CK0BXkdh4x8ZQ2cKQaCJIlRQreW/IxwetWf+E18b/wDQA/8AIT/41OF4pwsaEI+yqaJfYfYdTAVOd+9H70eo9/asXxH/AKuH6muHHjTxuP8AmX//ACC/+NT2PiLxFq10I9V0oWVuqkiTaynPpya648SYbEyVKNOactNYNL5swqYGdOLk5LTs0a1FFFeieaFFFFAHhn7cUbz/ALJvxNjiRpJG0ogKoJJ/eJ2rzzxZpesWfxU1P4QaZpEz6D8QNQtvEdzfL8sFvYqM6qhIQgNJJDEmGPzG9J4AzX1qRuBB5B6ijvnv61pGfKrWA+JpPEFt4X8Aavp9/oGjT6ZqPxU1yF9W8UWT3OkaOou5Cs9xChUvuGY4wWVd8iksoHKfs/3V3c+DzbGaOfTrP4uyQ6aLPT5bG2S1NuJAILeRmaKLfJIQpY43Hmvtry12kbRg8kY49aNo9O9X7XyA+M/Dnwz0Fvhv4/8AFM2iRHxRF8Qr2a21WSM/aoVTWAU8pz8yKVZiQpAIY5zmu5bT/A/hT9pDxfZRaTpum+Ptc0tLzQJk04LPcTeTdG4kjmCYDHnedwJzznNfSW1em0fTFLxnOOfWl7V9QPiX9mnR9PvfFnw/WbxToVj400lJZdZ0Wz8J3lprVxK9s3nRahdNdOHxJIshd02syDbjNdZYfD3RNB8H+D/FVhpMcPiefxzul1fYWuykl9NE6GQ/N5flnbsztx0FfVu0cnaOevFLtGMYGB0odZsD4j8beJbDXfizLcWukaBoHiLTfHdnb/ZY/D9zLrksa3kcJvJNQEipFBNGx2q0bKyMEDZPGjf/AAt8P614M/ae8S6josc/iPT9d1K60zUZFP2i0kt9Otp4JLdusbCQK25ME7RnIFfZe0c8detG0c8d8/jT9s1bQD5K8UX3gPSfj94//wCFs6TdajPqEWm/8IibvT5b1Z7dLVWmjsBErFJhcrIz7drfNEemDXGePPD8erePPGuh+IfGXh/wX4z1DWzLpF9eeD7q91dIQ6fZZLG6F2qlQABtRMKRIGHU190bVODtHHQ4pCi7gSoJHtSVQBIlKxIGbcwGC2MZ96fRRWIBRRRQBe0L/kJR/Rv5V1ORXinxP8XeM/Bun2d74M8Np4lvGlKTwtuZkTHBCKQW5754x05486/4aA+PP/RJ/wDyTuP/AIquqlio0Y8rTfomyrn1jRXyd/w0B8ef+iTf+Sdx/wDFUf8ADQHx5/6JN/5J3H/xVa/X4fyy+5gWP2lP+TkPgv8A9fyf+lEde5fEbwfdeJrKK5tvEevaEbKOVzFok8UTXOQCA3mIwyNvHT7xzXyHrPjbxr47/aA+F0vjXwx/wjFxb6hELaLypI/NUzKSfnJ6EDp619xa1dwafo99c3aeZawwPJLHt37kCksNvfIzxXPhJKs60tk3+gHzj8NvDXgTUL7T/F1h8WNSh1rV1gluLe51SxW4mb5f3EoEQY8gKQOuOOxr6eWvnPRvCkVnoOieM5fAngCDT7l7e7+w2ekqLm3ilZfLZJ8ANIu9SfkA4OD0r6LX7tdmF0TVrDPLf2jv+RAj/wCv2P8A9BavmOvpz9o7/kQYv+v2P/0Fq+Y69AAr7O+Hv/Ih+Hf+wfb/APota+Ma+zvh7/yIfh3/ALB9v/6LWgDofSqGqTLb6fcSMqsERmKucKcDODwePwq+axvEtjb32i3SXTSx26ozM0TspAAPp1+nSuTEylGjNx3sy425lc5aLw7Jbyx6jeXtvpUIdT5OmRlFYlgF3MeucgdBXffw/wBa8/sYbFreSa9068hjtZodkdxePLuDMNrldxAwTnHPSvQB93pXz+SRgqcnBWvq9W3fvrax04httXex5d4M/wCSp6//ALj/APoa16mv0xXh39qanpPxC1yXSbP7bOzMrR4Jwu4c8e9b/wDwm3jbt4f/APIL/wCNfGcP59QwNCtRqU5tqpPaLa+J9UetjcHOrOMoySXLHdpdEeqZFNry7/hNfG//AEL/AP5Cf/Gk/wCE38bf9AD/AMhv/jX1P+tWF/59VP8AwBnB/Z9T+aP3o6O+/wCPyb/fP86hqvYXV3eWqzX0Atrp8mSIfwnNWK7qdRVoqpFWT11Vn80eZOLhJxfQKKKK0ICvlv4x+Abjx58U/iOmnwk65pfhjR9Y0WcAAx6ha3d5NDtbacZZdjYGdsjDvX1JR3z39aqMuRgfDeoXGp/FKTwX8WtV0y4sJvEHxF0Sy0eyuFPmWuk23mhCQyKymWdriY5z8rx88VnfFbxMusfEi2uNO0/w74c8S2PxB0+J9Pt9Emk8QvbC7hjkupr0SBY4ZUkJC+WylHUb9xIH3mY1bGVBwcjjv60GNdxO0Z9cVp7byA+TPid4dh8SXPiXTL61e40+7+KWipPENyh4jBaK2SMHBzgn3rS+Knwl8NWHhP48aBpHhSyGnyeE49VtNKtbINENQ+zX0SywQgYWYiKJQUG4kDua+otq/wB0fiKCobqM0vau+wHxl8QtU8L6xoHwb1jwxceHNN+EKw6ks9xqvh2W90aK+LRRwma2SWHa2/7WBIx2hic8kGt3TfA+ia54H+EGmDUrXxZ4avPHNzdodP06fT7HymsNScQxwSSyEQBuApcoRx04r6v8tdu3C7fTHFKqhVAUAAe3Sn7XSyA+NvE2sWfwt0/4waJa+FdPvfCa+M9NtYrC8tGfSNIjnsbaeW8mhTrbxzZkZFwCzYyoJYcd4Z0+PV/BXxd0S2ltpfD0vj3wq1qdB0yfR7TE8+mmZ7aBpHeIMTu3K/J+dcBhX31tHPHXrR5aj+EY+lCq2WwHx38XPBNx4F1P4z6F8NNHutIjuvA+jX39m+G08l5ZRe3sU7wqvHnNbRbcr8zbV6nFWvFl58O9d+CfiRfgzYW1pZW9zpcWtS6bodx9na1S5AlR4lMRmKRB/MVW37Dgn5hX11tXdu2jP60gVVXCqAvoBxR7XrbYD54/Ze0/RbjxL4p17w34u8Pa1pN3b2sEml+E/Dc2kadbzqGbzcPPKrSsjorBcEBFyM19E0gULnAApazlLmdwCiiipAK6fRf+QdF9W/ma5ivFvEnxl+M/h3X7/T9I+GyanpUMzC1u0hmlEseeDuVsZx7cVrTrRoyvJN+iuM+oaK+Tv+GgPjz/ANEm/wDJO4/+Ko/4aA+PP/RJv/JO4/8Aiq6vr8P5Zfcxnvfxr/5I745/7AV9/wCk71wn7GfP7P8AoP8A11uv/R715D48+OHxq1bwT4hsdV+GX2DS7nTriG6uvss6+TC0TB3yWwMKSefSvXv2M/8Ak3/Qf+u11/6PeuanXjWxaaTWj3VgOf8AiH4B0bT9SsPDPi74n+KotN1uCZ0l1K/tFtnaJoyYzuh4bDbgTx8vXOK9M+EOk6No2l3VrovjW48Y2sXloPOvYLgWgC4VF8lVCgjsfSqHxV01PFnijw/4dj8P+HdWupILm9a88R2QuktYUMSMIkxy7NIn8SjCHOeKtfCvTF8N6jr2hSaDoGi3duYZ/O8O2gtobqJ94RnTGVcFGBGT2wa6qcVGs7L5/oM9Kr4++Ln/ACUnX/8Ar4/9lFfYNfHvxc/5KVr/AP18f+yivTA5GvTP2eV3fEWM+ltKf5V5nXp/7OvPxE+lnL/NaAPqGiiigBK+bPjd/wAnRfB76XH9a+k6+bPjd/ydF8Hvpcf1rzsd/DXqvzQH0mvSlpF6UtegtgCiiimA3PSjj1rxXxpr2pWvinUIYdQu4YlcBUjnZVHyjoAaxP8AhJdX/wCgre/+BD/412RwspJO+550sZGMnGx9C7h7Ubh7V89f8JLq/wD0Fb3/AMCH/wAaP+El1f8A6Ct7/wCBD/41X1OXcn69HsfQu4e1G4e1fPX/AAkur/8AQVvf/Ah/8aP+El1f/oK3v/gQ/wDjR9Tl3D69HsfQT+1eafFX/kYfC+Bn/SG/9DjriP8AhJdX/wCgre/+BD/40h8R6s3J1S9P/bw/+NeNm2RyzPDfVubl1Tv6NM6cPmkaFT2nLe1/xVj6FThRS7vpXzz/AMJJrH/QVvv/AAJf/Gl/4SXV/wDoK3v/AIEP/jXrxwUopK5zfXo9j6F3D2oLfSvnr/hJdX/6Ct7/AOBD/wCNH/CS6v8A9BW9/wDAh/8AGq+pz7h9ej2MP9oD/k5/4O/9df8A2qK+n818wappcOt+INM1y/aa71bTc/ZLqWdy0Of7vNbn/CS6v/0Fb3/wIf8AxrkoZbUpznJte87/AIB9ej/Kdj/zWwf9c/8A2lXqnavnD+0Lv+0Pt32u4+2Yx9o81t+OmN2c9Kt/8JNrH/QVvv8AwIf/ABryMnyOvl/t/aST55uSt2Z24rNKdbktF6RS+4+hd3+c0m76fnXz1/wkur/9BW9/8CH/AMaP+El1f/oK3v8A4EP/AI19F9Tl3OH6/HsfQuRQawPA9xLdeFrCWeV5ZWUlpJGLMfmPUmug5ria5XY9KMuZKQUtFFIoKKKKACobiQxxMwQuQM7V6n2HvU1QXPmfZ38oKZMHbu6Z7ZqJO0WwPP8AxJJHqcguprDV7HywpZ42iVTtO5ScsRweQa6TwZJazaDA9os6xMWIN1zIx3HLE98nnPvXNR6P4imujc6lp1tqcwOUWS72xR85G1Nh/M5PFdtpLXT2KNdW8dpPzmKOTeo545wO3tXxmU0qksZPETi43T3Vm/O+x6FdpU1FO/oziPjh/wAi9Zf9fa/+gPXoNn/x6xH/AGRXn/xu/wCRfsv+vtf/AEB69Bsf+PWL/dFPAf8AI9xf+GBVX/dKfq/0JqKWivtLI80wfEn/AC7/APAv6Vi10es2Mt75PlbTtznJx6Vm/wBg3fon/fVeTXpzlNtIWpnUVo/2Dd+if99Uf2Dd+if99Vh7KfYLHhX7XWqaho/wH1afTNSvtJun1PR7f7Xpt1JbTrHLqlrHIFkjIZdyOykqQcMRXP3Md98B/jP4K0Sw8R69r3hnxzLe2kmm+INSk1BtPngtTOktvPMWmCsInDIzsMsCNuMH1n44fBe/+L3w1v8Awtb6rDodxcXNldRX8lublY3t7uG5UGLem4Ew7T8wxuz2rI8NfAPxNJ41i8V+OfFVv4r1Wxglt9It7HTBp9np4lAEsixmSV3lYKF3tJwuQAMnO8acuVJoVjjPCPxK11fgf4K1vQLXTZIb6yaWW58YeIHjaPB+RWl8tmlZst8xxjbznNQ+Gv2l7/4keGfAF34R8PWn9peLNKvtVEWuah9ngtUtJYoZk3ojeYxkmULgD5QWOOlXI/2Rtc0fR/AcGjeJ9L+3+F9KudJ8zW9FN9bTJM0beckHnp5UymIANuYEEggivD/iV+yzrPgK8+GnhKJddu/Bug6Lqdq3iPT9Bh1x2nuL1J44HsmjcRkLHzcInzEBTsBxV+xT3QWPR/Dn7VnifxR4a+GFxp/gqyuNa8fNqAsbU6o8UNutsobfLI0WcYDk7VbIUbd27Na2j/tS3OseF5Le38Mxz+P08Uz+DTokd8FtTfwp5ssonZQxgSH94WCbsDaFJrS+GPwc8Z+OF+Fni7xl9n0LVfBc+qwQafFYLbm+tJUa2tpHiWRltnMSo5jUuATj5fuqW/7HN9pKeIL7S/FaWXiO68c3PjfTdSk05ZUsZJoUhktpIi/72No1dSwaNvnyNu3lexWziFilqn7Sms+D9L8bWnijwrDY+JfDP9nO/kXpbTZoL2Ro4bnz2QMkUbRyeaxTCBM5OeL/AIs8X391H8J5tbCx3Gp+L1tYn8La3KLSdPsV3LG8jBVMsR8sExHgkLkkZU9BpfwB8ZWM/ifX5fGOm3XjbX2tYp7yXRi2mxWluX2WqWhuCwQ+bKWbztxMhOeAKpaD+yveabb+GmuNZ09bvTPFz+LZ10vS/slnI7Ws1v5EMHmv5S4m3ltzkspJHzcL2XVILDfgh8atR+Mkt7fR6bpVjo0Ms9u1sNRZ9Us5o5Nnl3Vv5YEbMBuxuyAV6g5rO/aal1jxNa+H/h74b8V3Pg7XPETXU/8Aa1jcNBPBb28JYsrgZA86S2UgFSVZgDXTeD/gH4n0/wCJsPjXxL4i0fWNRttOl06NtK0P+zpbhZGjYyXUnnSeayiJQoUIoy3HIAj8Sfsp6J8QPinqvi/xvaab4tt306203SdLvbP5NNRGkeZtxdhI8ryDLBVwI1XnrS9m1K6QWODvviBffFr4A/D/AFSefUfD1/rWr6bp+sRaZdy2VxDMLjyrqFZInDoPMRxw2duM96rapear8BfilpPhODxNr3iDw34z0zVJLGHWrx7650u9tIBMWS5kPmeS8e4bXZ8OFxgE12EH7Jt54b8M6rovhLXrLQLJ/EcHiLSbWTS/OtdMZPLZoBEsse9GdHfO5SDIeuK2PDv7PXiH/hI9W8TeMfFcfifxHc6dLpNk9rp4sbPTraTBdYofMkZmZlUszyMTtUDaKr2b7aBY8P8A2Tfi1q3gz4aahD8RvEl/rVvB4ZtPHNprOqSPcz/YJoCbqFn25YwzxSlVyW2TRgcACuj/AGRNb8Y6n4u+KEXjHWNSv7xptL1JLDUJWZdMN3ZidraNCF8tU3Ku3aOU55zXS6p+xXBrvhH4T6Bfa872/gmGG0u/LtlC6zbR+Uxt5FLHZG0tvC7D5shSvfNem+E/gzceF/iJ468VDUFuT4oeyf7J5e37N9ntxDjfk792M9Bjpz1pSg7O0dxHSUVo/wBhXfon/fVH9g3fon/fVc/sp9irGdWjoP8AyEP+Amj+wbv0T/vqrek6XPaXXmSBdu0jg5rWlTmpptBY216UtFFeyMSvlf4Wf8nyfEc/9Qlv52dfVFfK/wALP+T4viP/ANglv52deXi/4lL/ABAfTepxyTafdRxCFpWiYKLgZjJwcbh3HrXzpo0fhPwN448P6bq/huGXVDdJHYLpOvyahBaySuVV/scsgMSjrvVCF9RivobXQkmjXyS2jX8TQuGtVxmYbTlBkgZPTkjrXiPhH4c+JdF1zTrjwvZP4C0HzIGu7G9v0vTcRBiXiERR/LYj5Qyygc9M1WJ5uaPKrgfQC/dHavHv2mv+RR0sf9Pw/wDQGr2FfuivHf2mjjwrpQ/6fP8A2Rq9ID5yooooA+0/Av8AyJPh/wD7B1v/AOilrdrC8C/8iT4e/wCwfb/+ilrdoAjb7pNeaeINWg1K4+0f2br9lMAqPJHbjayq25chiRwc4PXk16WxOD6157Jpev6heNPqVjHfIrZS1W52Qr6ZXadx9yfwr5TPfaTpxpQi3zeV0vN21OzDWTcm9vM3fAd5a3+jtcWpuWWSZmeS7xvds9eOMdAMdhWF8bP+RZtv+vlf/QWrsdEa4NntuLSOyZTgRxvvAXtzgVx/xs/5Fm2/6+l/9BavPzqm6fDtWD6Q7W/BnTg2pY2DXc7TQv8AkD2f/XFP/QRWhgelZ+g/8gez/wCuKf8AoIrQr63BpfVqXovyPOqfGwwPSsXxH/q4fqf5Vt1l61Yy3qxCMA7Tk5OK2rRvBpGZzdFaH9hXX91f++qP7Du/7q/99V5Hs59ibGfXg37dHi3WvAv7Kfj3XPD+qXWjaxaQ2xgvrKUxyxFruFSVYcjKsR9Ca+if7Cuv7q/99V5p+0f8Bb349fBXxJ4Dj1KPR31iOFBfNH5wi2TRy/cyM58vHXvmrhTmpK60Cx5o+j+I/wBnnxf4AtLXx34k8a+GvEmsNot5YeK54bueCSSCWWO4iuBGkvymDaYyWUiQnAxmtb4e/EDWT8ONOufDel3OvrNqWrQy3nivX0jMBhv5Y9rSiJmbdhtihMKkeC3A3dJpvwH8Z+IPHWh+JviD4q03W10EtPpei6HpbWFnDdMjxm5k82eZ5HCOyrhlC7mOCTXKXH7IuvWln4SOm63od/caDe6zc/ZfEOkveWUwv7lpt4iWZNssQYoGychnHGa2dNvdBYs+Hf2jrrx14V8GXnhrwt9o1vxJJfxf2fqGopBDaNZSPFcFplV948xcLtUlgwYhQDjLsf2ptR1Hwv4L1Gz8Frfaj4q8RXHh6zsbfVVCxyQpMZJZJZIkAVWt5QQob5QCu4kKfN/Hn7N+u/DjS/hh4W+0T3enaQ+uXUniCHwnLrVusl1deckLWNsd8TFZWAlVgBsK9HxXp3w1+FHi/wCJHh/4capr9hZ+GF8F+Irm7sLe3057L+0bEW09vDI1q7s1ozCfdsZmI29F3YW/Yr+ULGlZ/tGM3hnxC914cYeKdF1+Hwy2i2t6rx3F7KImjEczKuU2TK7HZlQr8HFO1L9oDUvCNj4zj8VeEvsGr+HdJi1lYbC/+0W95BIzoCspjQoUZDvymFHzZPSpNS/ZP1G6k8Z3trr1vba1qniyDxdpF5JZiVdPuYbeGFVZCw8wMsUisQVO2VgCDzWnpvwS+JBvPEHiTVfFPh658aahZ2+nWpt9Fk/sq1topmkZGge4MkhlDsrN5q4+Uhfl+bP2Pl+YWMHxx48vn0HwFea9DPpM2oeMbCztv+ET1/zYbhHVmUzSeUvmQkhg0WPm2j5ua3/hn8X9R+JeuaqtroVpZ6JYahdabJNNqYN8kkEjIWkthHhFcqCv7wna6nHNcxof7IGsWUEU13rWmW90fGtr4uex0ewe306DyYRGYIImlYqZG3SM+eWc/KK6rT/gT4rufi9Z+Mdbv/C5i05rgW7aPoz2l/cxyqyrHczmdg6qChwF+ZkB+XGKHS02Cxk/tLeIdWbRNA8CeGNak0LxZ40vjYWl/bzCOezt4o2nurle/wAscYTI5DTJzyK4LxF8TNZ+JH7KHh+/TVNS8MeI77XNJ8PazPpkptby0uRq0FneqjZYoSRJjOTtYZznFev+JP2bbPx58Vj4s8VRWut2Vppa6dpemTK2y0ZpC88xyxBd8RKCAMKhHOa5PUP2QbrT9H8Yab4R1ex0Cw1jX9K8TWGnyWHm2theWklvJJlFdGkWZrVGb5lILNzRGm7JNfgFjNsINd+AXxG8B+HZfG+veM/C/iqa501Y/EzxXV5aXaQyXCyrcoiM0ZSN1KPuwdu3AyK4z9k/4zazY2uvab8Q/EdxqMdxp8/i3TNT1FixSxW4lhu4SwQACB0RguWIWdQMAYHuPhr4J+Mrrx9Z+LvHfijT9eutNtXt9K0zRtNbT7K0eTiadg80zyyMoVQSwCgNhcuTXD69+xO3iL4c+AfDU+uRwXPhm+mkmv0tQxvbGd3N1ZFS3ypKrICck/ul/CvZu1mtQsc9+yz428ZeMPid48vfFOoXn2XV9O03X9O0OdyY9Kt7lrgQwqD91vIihLjj94X4r6armPD/AMHLrQ/it4n8YLeRvFrGnWNglkqbfJ+zmY7t2ec+b0wMba7f+w7v+6v/AH1WE6cm7pBYz6K0P7Du/wC6v/fVH9hXX91f++qj2U+wWG6If+JlH9G/lXVVg6XpVxa3iSSBdoBzg+1b1eph4uMLMoKKKK6wPl79oj/k5T4Nf9fQ/wDRyV9M3O9reQRhTJtO0P8AdJxxn2r5o/aCUN+018HAeR55P/kVa+lNS2f2fcCRGlj8tt0cY+ZhjkD3rycN/Erev6AfNdvp+g+AvFWl2XirSr20t5LmE2Wmab4jN3pcVwZeGSyZ0kUKxHARkXIwBjj6dX7tfPPhP4b6/omvQXXgzSrzwrpjXAe5XXryG58yMON4CmOSYF1z/wAtlweor6GWtcImk7qwHlv7R3/Igxf9fsf/AKC1fMdfTX7R5/4oSAZ63if+gtXzLXogFfZ3w9/5EPw7/wBg+3/9FrXxjX2f8Pf+RD8Of9g63/8ARa0Ab9YniTVI9Ps9kun3WoRzAxtHaxeYcEc556Vtn7tc74sGryW0cekCMMzYlkY4ZVx/DnjPuc49K87HylDDycE2+yV39xpTV5K5xFtqFlHqtpBdjXgsksYSC5iVQ7Kfl3EfMwBwfw5zXq6/dri9D0/UNMlUjRo2kc/vLqS83yN6kkr+ldoPu14mRUZ0qdRzVm3tZq3ze50YiSk1Y8u8G5PxU8Qf7j/+hrXqa15Z4L/5Kp4g/wBx/wD0Na9UFcPCKX1Or/18n/6UzpzH+LH/AAx/JBgelNp9Ffc2R5Rxt9/x+Tf75/nUNalzo9zLcSuoXDMSPmqP+w7v+6v/AH1Xhypzu9BWM+itD+w7v+6v/fVH9hXX91f++qXsp9hWPkqTwvr3xY/ar+J2lv8AEbxl4X07wvYaHPp9l4f1FYbfzJ452kMkTxukgJiXgjByc5zVzwH8Ste8RL4Y03xdf6jJr2i/EO+8JtfaTcJaRaoILK5mjuLqJAVZZI0UtEpUCQggKBsHc6l+z58QtL+MHjXxt4P8X6DpC+KrOxtLmHVdElvZLY2qSKjxFbqJcnzWJDqRwPfN/wAM/ssp4R0vwda2WqzXdzo/ia48U6lqN4qm41S7ntruKZ32hVUlroEYHCxheetdXI9mgsQxfGLXrDx14e0XXfCdtpdlr13LY2s8GsxXNxBKkMkwE8IUBQyRN9x3wcA9c1hx/tE61ca14dEXhC1XQdf8QzeHbG8m1jbceZD52+R4VhYBSLeQqN+fu525OK3gn9kTxJ4V8SeFru41vw/cWHhvVbrUopbbRPK1HUBLFOm25uTK2WUzk5VRuxzXlPwh8JeNfC3jjSb3T/DgudYvtfuDe6Lqvgi6tJNLt5rh2nkGr7hBIUQ5DBW8zIXvuAqPkFj1OP8Aah1KS18Ra0vgdl8KeH/FU3ha9v21RDcSOl6tp58MAT5k3OrEMynGcZxk9Hr/AMZ/ELa54ytPCfgr/hJbPwkFj1G4l1IWr3FwbdbgwWq+W6yOqPHncyDc+3jrTY/2V9Qj+G/jLwsdbiL+IPFtx4nF15BxCJdQS78nbu5xt2bsjrnHal179n/4haf4g8Yy+BPF+j+H9F8XSG71CDUdHa7uLO6aBYJJ7RlnjXLLHG22VXAcE8g7aXstdvzCw/S/js3ivxzpWheGtNsbu2utHsdce41DUxazNa3LyrmCERv5xjERLYYAF1XPOa463+OkXg+68fNbW2papeDx1H4ejTW9V/0K3mktIXUq/ln7Nb4ONuGzI3+3xt+Pv2T/ABD4s0zQ/C9lrmh6b4P0lrL7FOukv/benJbmIsLe7E4RWk8tvmMXy+YeGwBWvH+zv4q0FfHkuhavoNxL4q8SNrc1rr+lPdWpgNrHCbdlWVDu3RK4fPbG3nIXsuyCx6L4ZvtR1PQ7a51axt9Ov33GS3tbv7VEBuIUrLtXcCu1vujGcdq+bfB/xc8Rap8doPFd3qjj4a+JNXvfB2j2nnI1qslouY7wMHwGnuI76IcbmCwgds+4fD34Kaz8P/g+/hC11W1bUdl6Yb23t2ht7Z55ZZFSGHzGKRReYERN5wsY5rg9a/YY8L3HwntPDOh29voXiTT0tp9O8URwq9zBewSJIlzz1ZnTLEYJDvzk5pRptXugscva+CNd+KH7QfxVkX4l+NPC6+HrnToNNstG1CMWMZksI5GZ7aWN0k+ckkEAHn61xHiz4qfEbxR8OfBMem61cQeMdH8W6zpeoTaaPJj1mXS7W+faUw37uZrdcxjPLcdBj3K8+AnxN0/x54517wp408P6FD4sNtJMbzQpb64s5IbVIA0Tfao0P3dwDow6ZzWxoP7M0XhNfh1DpeoTPH4T1K71S4nvm8641Ka4tbmKWSR+P3jSXJkJxjjAA4q+Rx6fh5BY8d/ae+M+q+KPgrZf8K41ybSLnWPDd54ul1azk8u5tNPtbbzxtBIZWlmaCLpkKZeMjj6O8D3k2oeCfD91cyNNcT6fbySyOcl2aNSSfck15LoH7FjeG/CvxY0K01wfZPF1neadpMb24CaJaXBnkMCKpAdFmupmHQ42jPFe6eG/Bt3oPh3StMZ0mNlaxWxkHG/YgXOO2cVlKm7JRQWForQ/sK6/ur/31R/Yd3/dX/vqsfZT7BYz66fRP+QbD9T/ADNZH9hXX91f++q29Lt3trNI3xuUnp9a68PCUZ6oou0UUV6gHFfGv/kjvjr/ALAV9/6TvXB/sYsD+z/oOP8Antdf+j3rvfjR/wAkf8c/9gO+/wDSd68//Yt/5N90P/r4uv8A0e9eXL/fIvyf5gdN8Y/DM+u2+nXUGmQ3L2PnSLdx6tJpt7bMUx+4lUY5Gcq5CnC56cUvgHqnhjULHWk0GHUBqMU8Y1O41O9F9NPL5Yw32hZJFcYGMKwAIb5VOan+NXg+x8YR6TDP4f1TW7yKR2tpdPu1t1tGOB5jlmCtg4wCr9+PXS+Eui+K9F027g8S3Ns8ZdTY20RjaS3jAwVd4ookbkZGE4zgk00pfWLpaAehV8ffF3/kpGvf9fH/ALKK+wa+Pvi5j/hZOv8A/Xf/ANlFemByFepfs4/8lCk/68Zf/Qkry2vUv2cf+SgSf9eMn/oSUAfT1FFFACV82fG7/k6L4PfS4/rX0nXzZ8bv+Tovg99Lj+tedjv4a9V+aA+k16UtIvSlr0FsAUUUUwPBfHv/ACOGp/8AXQf+gisGt7x7/wAjhqf/AF0H/oIrBr36XwRPmK38SXqFFFFbGIUUUUAFcF4u+LUHh3xZB4W0vQNW8VeIpLX7dJZaWkSrbQbtqvLLK6Im4hgozk7TxXe18/X3jDTPgf8AHjx3rnjNm0bw94mtNNNhrbQu9s0kEckbwSOqnZJ825Q33hux0xWc3y2NKceZvqez+HfEy654fg1S7sLzw+ZHkjaz1hUhniZJGQ7gGZcHZuUhiGUqwODWo15AiK7TRqjDKszgAjGcj8Oa+dfHXjjwrqHxM8JeLfF4mT4cT6JdpYXOtWUiWSX/ANoUB5I3TKO8Kt5bOAGUtjk15r4d8FnxFrXw6sNbs5p/Bep+O9dutE0+4WSNF0r7HI1umw4Kxs6OwQ8MjdCrYrP2jRr7FbvQ+0m1C1jWNmuIlWX/AFZZwA/09anBDcjkV8f/ABC0ey8L/GDxhYeI9Q8NeFfClxpFlaeHf+Ei0WW6tvICP9ois3juIVilEp3Moy53RkcAV9P/AA6s2034f+GbR9Qm1ZrfTLaI39xC8MlyViUeY6P8yM2MlW5BJB5q4ycnYidNRSa6nRUUUVqYhRRRQAUjdKWkbpQI90+H/wDyJ+nf7jf+hGuj9K5z4f8A/In6d/uN/wChGuj9K+cn8TPqKXwR9B1FFFSbBRRRQAU1vu06mtQByereJrvS9SuwttFLY28UckrPLskG4kHaMYbgdMjnjvS6L4ivb7UAZVh+xzPNHEFUiRTG2Pm5IOcHoPSsfxtGLzUhs0qxu3g8qNprtmBBlYooGB0BOc+5xzWp4L0W2jt1uzaxwXaNJAyxSu6LhsHG49TtGT1NfB0a+LqZi6MJ3gm312vttb8T0pRpxo8zWr/ruYvxv/5F2y/6+l/9AevQ7H/j1i/3BXnvxv8A+Resv+vpf/QHr0Kx/wCPaL/cFb5f/wAjzF/4YBV/3Sl6v9CxRRRX2p5onSiuF+JXi3UPC/8AZ5sTGPOLh/MTd024xz71xH/C3Nf/AL1r/wB+j/jXhYjNsPhajp1L3XkS5JbnuPNHNeG/8Lc1/wBbX/vyf8aP+Fua/wCtr/35P+Nc39v4Xz+4n2kT3LmjmvDf+Fua/wCtr/35P+NH/C3Nf9bX/vyf8aP7fwvn9we0ie5baOK8N/4W5r/ra/8Afk/40f8AC3Nf9bX/AL8n/Gj+38L5/cHPE9yxRXyH4N/ay8S33gXxZqviODT9M1Xwvd39rqcMUEgiAgJdJE3HcUeExuDjnccVgRftX/FfW9W0vQdH0rwna+IP7BtNbv4dWuZkRjM7qYoFQFiF8s5kOQNyjFdsczpNtWem4+ZH219KXbXwv8Rv2nvj34P8QaBbWukeA2s/EGpx6XZLcT3bSxSNBJKTKQoG0eU4yo5yOOuOr8G/tPePV8Yal4Z8bW3h/TL+z0iHVkn01naGdDJKkpXeQ21NseSQOX+lOWZUVBT30vp9w+ZH17xRxXwr4T/bv8Ra98CfF3je/wBLsdG1bQ/ORLG4B8ud3jSWywQd22ZZoAOmSxxxiul139q74gaH428GaFN4Yt4bPVrtbK91WYqIvONq8xW3QOWcAoQWYKB0G45IHmVKLaad1f8ABXFzI+xdoo214d/wtzX/AO9a/wDfo/40n/C3Nf8AW1/78n/GuH+38L5/cLnie5c0c14b/wALc1/1tf8Avyf8aP8Ahbmv+tr/AN+T/jR/b+F8/uD2kT3LmivDf+Fua/62v/fk/wCNH/C3Nf8AW1/78n/Gj+38L5/cHtInuJ/Ol/SvDf8Ahbmv+tr/AN+T/jXSeAPHuq+Ide+yXZhMPlM/7uPacjHv71tRznD16kacL3Y1NM9Pooor6AsSvlj4W/8AJ8fxH/7BLfzs6+p6+WPhZ/yfJ8R/+wU387OvMxfx0vUD3T4r+GZPFfgPVtPTXJvDyPbyeZeR7Nuzy2BWTcD8nOTjB44IrzPwpp+la1pmmS3fjvxNqGnabf2ETWd3bJbwyT7o2twR5KvsLmMg5weMmvWPHuqaBb6Fc6d4g1S30u11KGW23TyrGWBXDbSe4DV45osdlP4hih1P4peH720v9Rs5mtbaFIp7qaAxi3jDGQjlo0yFXLHgYor29ouvzA+il+6K8c/aa/5FjSf+vz/2Rq9jX7orxn9ppv8AindIGeftTf8AoBr0wPnakbpS0UAfafgb/kSvD/8A2D7f/wBFLW7WF4F/5Enw/wD9g63/APRS1u0AMbp0rk9c8U3ul6tcxR2K3NnbwJPNJ5gRkBL5wD97henHfnpXWn2rgvGUdreaoUfSUvZIYo/MmknaL5ZHKqvyj5uQTzwPrXz+dVqtHDc9KVmn9/l1OnDxjKdpK6/rzNO08SXU2ueS8UX2GSZreJlJ8wSKhc7h0wQG6envWN8av+RXtz/08r/6C1aXhXQ7T7RJcPZm2uraVk8v7S8yhiMl/m7kHr1rN+NX/Is23/X0v/oLV8xmUq9Th/EVK7vzK68vwR34XlWMpqC2aO10H/kD2X/XFP8A0EVfqhoP/IHsv+uKf+gir9fdYP8A3al6L8jy6nxsWkori/iR4qvPDFraPZeXuldlbzF3cAVpiK0MPTdSeyMm7HZ7qN1eI/8AC3dd9LX/AL9H/Gk/4W5rvpbf9+j/AI14f9v4Tz+4j2kT3DIo4rw//hbmu+lt/wB+j/jR/wALc130tv8Av0f8aX9vYTz+4PaRPcOKTivEP+Fua76W3/fo/wCNL/wt/XfS2/79H/Gj+3sJ5/cHtInt9HSvEP8Ahb2u+lt/36P+NcJ4V/ay1DWPCfibWNWhtdJfw3eXlrqsO1pBb/Z/n3ZwMhoiknGfv4zxW0M5w9RNxT08h86Pqml4r4m0j9sT4k+LLrSdN0XwnoUOtzaNa65eWurahJAI4p2fbDHiIs0m1PmYgKpODmtT4k/tWfEnwDqmgxQ+F/D99Za5qlvo9nLJqksUonljZ8yILdgqAo4yGY9DjkgdP9o0eZRejHzI+xPypeK+WND/AGlvF8njb/hF9d0fT9OvjpCaotxaTNPbu3nvHJErMiMSoETH5f8Alp7ZPI+H/wBuy6174S+MPHCadFFF4fuLm3W3KMftW3Bt2Q46TK8RBAON/fFT/adLom9vx2DmR9q8UetfHPjr9sPxl4H8SeC9KuPCMcsWuala6VdaoJQtrb3EyFwkWfnmwEky21QMDuSB6t/wt7XfS2/79H/GsamcUKSi5J67C50e4cUcV4h/wt7XfS2/79H/ABpP+Fua76W3/fo/41j/AG/hPP7hc8T2/PtRurxD/hbmu+lt/wB+j/jR/wALc130tv8Av0f8aP7fwnn9we0ie4cUf56V4f8A8Lc130tv+/R/xo/4W5rvpbf9+j/jR/b+E8/uHzxPb/w4pcc15b4I+Imq6/4ihs7kQ+S6sx8tMHgZ9a9Sr18LiqeMp+0p7FJp7C0UUV3DPmD9oD/k5z4Of9dj/wCjFr37xpot3rvhm9srPU5NKmmiZftCqh42kYO5SADnk4zXgvx2Ab9qL4O5/vyH/wAer3fxvr2gaPoc0XiPVbXSbG9VrXzbq4WENuU5VWJHOM/lXkUbc9a/f9APIPh/Z2ms+B7DS7jx3qVzp2iwafFdQw2McVs+AnliKRoA7xFlADDqO9fQMf3RXzLod5YSal/ZB+JnhG70m5Sxs18iRftkyQOdkYUPtDMCoLAHJ6KK+ml+76VvhdmB5P8AtJNt8FWg9bxf/QWr5pr6S/aUY/8ACH2I7G7Gf++TXzbXoAFfZ3w9/wCRD8O/9g+3/wDRa18Y19nfD3/kQ/Dv/YPt/wD0WtAHQms/WbtrDSby5QKXhheRQ3TIUnmr5qjq08Vtpd1NMnmwxxMzx4zuUA5HNc9e6pSadtHqVHdHNyeLtRWxmV7CO1v/ANz5SSS70IkcICxA4wc5H61ueHtSl1TTxLOixzqzxyLGcruVipwfTINcCumW8LgvoUcCq0XmbdQkJi3nCnp/CSenTtXo2l6dBpNmlvboViXJ+ZixJJJJJPJJJJ/GvkcnxGLxFWTqyvGKt1+/VI7a0YQVorV/13Z534L/AOSqeIP91/8A0Na9T7ivLPBf/JUvEH+7J/6Gtep9xU8Jf7nV/wCvlT/0o2zH+LH/AAx/JC0UUn8P4V9weUHFJxXjutfFLWrHWL22i+z+XDMyLujJOASPWqX/AAtzXfS2/wC/R/xr5yWeYWEnF308iOeJ7hkUV4f/AMLc130tv+/R/wAaP+Fua76W3/fo/wCNR/b2E8/uF7SJ7hxRxXh//C3Nd9Lb/v0f8aP+Fua76W3/AH6P+NH9vYTz+4PaRPcOKOK8P/4W5rvpbf8Afo/41ynxG/aU1v4e6TY6pNaW1zYyahbWd0+zb9njlkEfmkk42qzLnOMDJq4Z5haklGN7vyHzo+m+KSvlTxx+1hrPg3xVpGjJpsOo/aLC+1W+khADWdpbRg+YVLZYvIyRr0GSeeKyPAv7TnxX8ceHYdet/DHhf+ztUs0vtL26vISgYIfKuCIDhsF+UDAFdp/vV0rNKPIp7J9x8yPsKl4r4x8E/tZfFTxtN4oS38IeHYv+Efv7nSpx/a8rPNdRQrIojBtwCjGSNdzFSMsccAGHXP26b7Rfhn4D8XJplrdxeJri1ge3WQJ9jV0Z55GY9Vh2MDwOg6VbzGkpcq1fl56hzI+0+KOK+WtW/ac8VQ+Obzw3pOiWurzWuhtqrSLKsQ80yBIbc5J2mTEh3HgBKoeCf2nPiBdeOL3wn4s0PRdM1JLEapbXGk3L3MDwNK0YRt6IwkXaMnG07hjuBn/atDlctdr+f3C50fWmfajPtXiP/C3dd9LX/v0f8aT/AIW5rvpbf9+j/jXL/b+E8/uF7SJ7fn2oz7V4h/wtzXfS2/79H/Gj/hbmu+lt/wB+j/jR/b+E8/uD2kT3DIozXh//AAtzXfS2/wC/R/xo/wCFua76W3/fo/40v7ewnn9we0ie30V4j/wt7XfS2/79H/GvT/A+tXHiDw7bX11s86QuG8sYHDED+Vd2FzOhjJ8lO99ylJPY6GiiivYKOL+NH/JH/HP/AGA77/0neuA/Yv8A+TftD/6+Lr/0e9d/8aP+SP8Ajn/sB33/AKTvXn/7Fv8Ayb7on/Xxdf8Ao968yX++R9H+YFv4oRy+GfHGn+Ir3xjfaVZrYXcMdra2SXEyAvbM2xRCxMf7vLs33TsxwTXZ+C9Hh0vXNVnl1+81zVLiC3aY3SRp5cXz+XtVEUYJL+pzmuD+LXiLwzq1/MbDx94d0nW7e0vNIubXUrlGUpJt3owDho3V4155/iBB4x03whuoNYl1bVv+El0fxHeSJb2zjRCDDbRxqxRCdzEsS7nJxxjgYohb2zS/MD0yvj34uf8AJStf/wCvj/2UV9hV8ffFzH/CyNex/wA9/wD2UV6YHIV6l+zj/wAlCk/68pf/AEJK8tr1L9nEH/hYUn/XjL/6ElAH09RRRQAlfNnxu/5Oi+D30uP619J182fG7/k6L4PfS4/rXnY7+GvVfmgPpNelLSL0pa9BbAFFFFMDwXx5/wAjhqf/AF0H/oIrBre8e/8AI36p/wBdB/6CKwa9+j8CPmK38SXqFFFFbGIUUV4X+1v421DwN4T8GXFlrd94ftL7xbp2n6jeaeMzfY5PM80KNrHOFyMKTkDg95k1FXKhFzkoo90or5t+Hfxo1DR9C+IfiGTUNS8aeCrK/s9P8Ly3USx6jfXTqsc1ttKxscTuihnUHljlgK7W6+OGr+G7/VtO8VeEV0jULfw/ceILL7HqQuoLyO3A86HzDGhSRS8eRtYYbIPHOaqRZq6Uk7I9dpO4NeZ618aDpviD4a6Pb6N9pufG1vdzQM915a2zQ2guArYQ7g2dueMdcHpXB/DD9oTX4vgJ/wAJr4z061nuZL2awsBaXqLJf3BvpbeKEqyIkQBCqX3HKqzkDpRzxuT7OVrn0RgHqM0teB+Iv2rIPB+g+NZtV0Wyl1vw3p9vqyWOlayl3BfWssoh3pN5asrJJlWVo+MoQSGyPYPCOr6xrelfatb0L/hH7h2ylm12ty4jIBG8oAqv2KgsARwzdaqMovYUqcoq7NyivBbiy8S+C/j54I0vT/FuueJYdWgvJ/EVpqMsUkUFvHCRBMkaooh3TEL8v3uQc4yPeqcZc1xSjy213CiiirICkalpG6UCPdPh/wD8ifp3+43/AKEa6P0rnPh//wAifp3+43/oRro/SvnJ/Ez6il8EfQdRRRUmwUUUUANqK4Z1hcxgGTB2hjgE9qmNU9UmeGxuJIl3SLGzKMZyQOKxqS5IOXZDW5yetX032hbZ7TS5JbqJVljmutjsRk7QNuSBng+/at3wzZNp+kwwG1itCuf3UMhkXr13EZJPXmuY0aTRI9KjF5YSS3UiBpnlsnZ2cj5iSVrovB+V0cLiQRrLIsQlBDeWHO3g89MV8jltT2mLVSTTck9F020elzurK0OW1rP7/wATlvjf/wAi9Zf9fa/+gPXoNk3+iw/7o/lXn/xw/wCRds/+vtf/AEB6q29j8QPKTy763C444Tp/3zXhyzKWX57ieWhKpzRj8KTt66o7Y0FWwkLzUbN7u3Y9RFLXmf8AZ3xF/wCf62/Jf/iaP7P+If8Az/2/5L/8TXtf6x1f+gGr/wCAr/Mw+ox/5/Q+9/5Fb42H5dJ9cy/ySvL66zx5b+I7dbE69cRzqS/leWF4Py5zgD2rk6+TxuKljK8qsqcoeUlZnk4in7GfKpKXpsFFFFcJyhRRQSFGTwKACij2oq1GT6BZngfxO+GviHWviZLp2maYX8I+L3sH8QXySLH9n+yOzsDhg7NNHHDDwMAA5q98etFXxdFeaa/w71vWNWt7cnRPEGj3NvDJbzlcqRMZUeHa4XOQVOBkN0r24nqT06Gj07V6McZUTg3H4f61+WhVzx/xT4N8UappvwYF2n9qapous2l1rV1G42jbY3Ecs2TjIMjjoMnd0qp+0R4H8T6zfeH9a8H28lzqHkXuhX6w+Urizu4SBKTIwBEU0cLbepBPFe2fw1R1bWrHQoYJr+5W2jnuIrSIvn55pXCIgA6kswH6ngURxlSM4NRu1fT1JPDfFXwf1eT4s6Fa6ZYeX4Nvn02+1m6tzGmZtN8xoUkUn5xIfsq4A+7Cec4rf+L0+u3vjbwU+m+D9a1a00HVvt9zd2ptRHJG1pNHiPfMrFg0qg5A6Hnpn2D2PWs/VPEGnaLdabbX11HbT6jP9mtI3zmaXYz7V99qsfwqljKk5R5o3aT+fn9w7lmxuGvLK3ne3ltHkjV2t58eZGSMlW2kjI6HBIyOpqejiqMmuWEOtW2kPcoNSuYZLmK35LNHGyK7ewBkQc+tebyttpIReooorMAooooAK7X4Sf8AI2D/AK4P/SuKqtNY/EC+vrZfh7qNlp2pqGMzXkasGTpgblYDn2zXfl8uTFU5Wvr0Kjuj6t9aXNfL3/CP/tQ/9DLof/fmD/41R/wj/wC1B/0Muif9+bf/AONV+nfXJf8APt/cdJ9QfhXyx8Lf+T4/iP8A9gpv52dT/wDCP/tP/wDQyaH/AN+YP/jVct+zZB4jtf2sfGUXi24huvEP9jObua3ChGbzLXGAoA+7jt2rjrYh1KlJOLjr1Qj3/wCNPj7WvAum6f8A2L4TvvFF1eSMha0tZLhbQAD53RASevAyM4xkda808C61Y3HirT9Q8ReEvH2u+I5rhI4dQ1Tw80Flp5dguYowdkKDglzluCSecV9FatqVvo2m3d/dv5VraxNNK/8AdVQST+QritF+Llnqlnd3Fxo2paULa/tbBo7xED5uDGIXwrHCkyp15Geld9SmnVUpS+VhnoK/dFeLftOf8gPRv+vh/wD0GvaV6V4p+06T/Y+hj/pvIf8Ax0V6AHz3SN0paKAPtTwN/wAiT4f/AOwfb/8Aota3Kw/A3/Ik+H/+wfb/APota3KAI+efSuU1MT3LfvdOtHlmgEUwe6KnqTt+7yB1B9zXUvlVb6cV5ro+qeGprASarHG+ozAtcedC7MGJPGSDgCvmc4qaxo3Sum9dtLeT1OuhHeVr27HZ+GLA6bYNGbdbYltxVZmlznuWPJNcx8av+RXtv+vlf/QWre8Ezwy2Nwtq7SWcc7LAzZ4XAOOecAkisD42f8ivb/8AXyv/AKC1eNnMorhus4LTl/U7MHf69C/dHaaFn+x7L/rin/oIrQryfT7f4gNZwGC4hEJjXZny/u44/h9Kn+y/Eb/n5g/8c/8AianC8R1I0Ka+pVXoui7eo54Fc7/ex+//AIB6c2e2BXm3xqGNP03/AK6t/KovsvxH/wCfqD/xz/4muZ8cQ+KI7W1/t6WKSLefK27euBnoBWeMz6eKoSovCVI36tWS9Xc562DVODl7SLt2ev5HI0UUV8pc8QKKKKACiiir12AK+d/ix8OdYvfixLpum6dLdeFPiDHZp4gmVZGjtmspAXLMGAj8+ArFx1MZOO9fRFFdWHrTw7ckt/6X3MDwf9oaGx1pv7Nl8B+KNQ8QxQMdA8ReHrbJgmKgqPtCODAofbkSbVIXPOOLPxA8N+K9S8L/AASj1K3l1bX9O8SaXc63PZxb0RktZhPM20AKm8/ewB8wHGQK9w/Ck9+1bxxklGMVHa/5W+QHiH7S2m+JrOHRfEXg7S7nU9dSK90VRZxM8sK3cJVJsjhVSaOFmZuAAelcxrHwq1Xwv8VvD/h7SNOvb3wfrVtpb6hqCyNi1m0onb5gC7V85PIXtuMTAdK+jdQ1S00i3+0XtzFaQ70i8yZwi7nYIi5PdmYKPUkCrNVTxtSnTjBLTX+vkxps+eP2nPFF4viL4f6fY+EPFet/2H4nsdcurrSdGmuoPs6RTqwV0BBcF1+WvftMvhqem2t4IJ7YXESyiG5jMcse4A7XU/dYZ5HY0l9qtlpS25vLuG0FxMtvCZpAnmSscKi56secAc1arnq1va04Q5fhvqG4UVXn1C2tbq3t5Z4457gsIYmYBpNoy20dTgc8VYri1W4gooopAFFFFAHWfCz/AJHK1/65yf8AoJr3nivkvUrfx5cXVmvw+ubW21cMxdrpUOU28gbwV/TPTFT/ANmftUf9BXR/++bX/wCN195kuIdPDuKg3r0N4PQ+rcijIr5T/sz9qj/oK6P/AN82v/xuj+y/2p/+gro//fNr/wDG6+g+uS/59y+40NL47Z/4ai+D3+9J/wChV638XPF914P0G2uLPwrd+K7ma48pLa1tpJxF8rHzHCI5C8YzjqwFfLsVv8SLf9pf4ar8SLm1ub4ySG0NqIwBHhs52KO/rX2zdXEVnbyTTyLFDGpd3Y4CgDJJPYVz4STre1esbvrutBI+bfC/9max4n07V/F/hvxbrOtLPGbWEeF7i00uwflQ6R4PTdkvKzEYyMYr6aWuE0P4uaTr1je3sdpfW9pbJbyiS4iC+bFP/q5FGc7T74PtXdqcivQw8IwT5XcZ4/8AtLN/xSmnD1u//ZTXzhX0Z+0y23wzpY9bo/8AoJr5zrsAK+0Ph/8A8iL4e/7B9v8A+i1r4vr7Q8A/8iP4f/7B8H/otaAN6szVGn4iS2hnt5EcTea+3HHAxg5B6GtNq4/xxdW8M2lw3xYadJKxnwGIOEJVTjtnH5V5mYVvYYeUvRff+hrSjzSSK66Y+oXlpK+mWrGDaqst6xwqnjIAw2Peu2HT6V5vfap4fWS1l0cLHqCzxBPs8TJvUuAynjBG0nr6V6P95a8rKFFOrFNN6NtWs97dEbV7+62rHl/gv/kqWv8A+6//AKGtepV4isetyfELWxoUiR3QZyxfbjbuHqD3xW/9l+I3a5gx/wAA/wDia+JyDOp4KjWorDVJ2qT1ik18T63PZxmEVWUZ+0ivdjo3rsvI9QzRmvL/ALP8R/8An6h/8c/+Jo+y/Eb/AJ+YP/HP/ia+m/1lqf8AQFV/8BX+ZwfUV/z9j9//AADz7xN/yMeqf9fMn/oRrMqzqa3K6ndi9KtdiVvNK9C2Tmq1fFyqOpJzaav0e69Tw6keWbje9gooorMzCiiiq1AKwPH3g+1+IHgnXPDV6QttqlnLaNIyhvLLKQr4PUqcMPcCt+itIucGpLoB4X8B7HxXd2eveLPG+j30fiaK0g0L7HPsBuFtEbzZogyqAs8zyODnYw2EdM1R+EumxN8VGv8Awd4Q8SeB/DLWs39t2OsWr2dnLclk8lreBmwJBh9zRgIQeckg19BUV3SxkpOb5fiVvL7gPKfgPouoaPqPxRe/sbizS98Y3d1atcRMgnhNvbKsiZHzISrAMOMqfSvOdD+EmseLvGnjLwzrmly2nhzRbDVLTRdQu7fMc76pL5u+H+EiBIgmM5HmHpX05Va31S0ury6tILqGW6tSouIUcF4iy7lDDqMg5GeopwxtSMpSitXb5W6/13Hc8Q+DOqeJ7PwP4o8deJ/DWpf8JKtpDbnS1sSl5c/ZLVQwRMkt5k5nKY6hlx1qH9n/AMTXHiTxdrGq6/4Z8W2PizVog893rWiTWdjZ20Z/dWcDydhvLersXY+3v1VrPUrTUJLuO1uobmS0l8i4WKQMYpNqtsfB+VtrKcHswPeh4p1FUvCzl+C7CLNFH61XsdStNUjkks7mK6jjleB2hcMFkRirqcd1YEEdiDXm2YaliiiioAKKKKACvdvhX/yJNj/vSf8Aoxq8JrOsdP8A2hZI5G8K6lpSeH2lkNosiQbgu48HehPX1NfR5HV9nXk1FvTp8jSG59bZozXyn/Zv7VH/AEFdH/75tf8A43R/Zv7VH/QV0f8A75tf/jdfc/XJf8+5fcbnvHxo/wCSP+OP+wFff+k71wH7F3/Jvuh/9d7r/wBHvXk/j6w/aSj8D+IW1zUtKfRV0+4N8sa225rcRt5gGEBzt3dOa9Z/YvXb+z/oY/6b3X/o9656dZ1cWrxa0e4zE8eePNX1rxDqmiweFNe0HSobiS3l1ix8NzXl3dBWILwPs8tA2DhzvJDZGCK9B+Ctn4b0/Sry38O+HNY0BVkD3MmtWMtvcXcjZJdml+aQ9ee2cDA4rc8b/ESw8DeSlxaXmo3MkM1ytvYxb3EMW0ySMSQFVd68k8kgDJra07xDbalqVxYxBhPBBDcMGGBsk3bSP++G/KuyFOMavM5XfoI1v4a+PPiw274ja8f+nj+gr7Er45+Khz8RNe/6+T/IV6AHK16n+zif+LgS/wDXjJ/6EleWV6l+zj/yUKT/AK8Zf/QkoA+nqKKKAEr5s+N3/J0Xwe+lx/WvpOvmz43f8nRfB76XH9a87Hfw16r80B9Jr0paRelLXoLYAooopgeC+PP+Rw1P/roP/QRWDW947/5HDVP+ug/9BFYNe/R+BHzNa/tJBRRTI5UmUsjK65xlTkelac0b2MeUfXn/AMXvhfJ8Tl8GpHfLYjQfE1jr7Foy/mrbszeWOeC24c16BRQ/eVhxbi7o8d8Qfs+DVta8ZT2etSaZZa/NY6vbokKyNp2r2zAi7iUjYQ4jh3qwJYofmAIxJH8Hdf8AF+pahqfj3xBZXt5Jol3oNpb6FZNbW9vFclTNN+9eRmlIjjUHIUBTwSc169RWfs43NPaTseE+H/gP4u/4Tn4da54j8W6fqVt4Hiubazt7PTWge5jktTbiSVjI37wjazbQF44XmnaT+znfWvw5vPA93rtm+lWWpjVvD99HYbrq0nF211unDuY5QHYrgKoKkg8nNe6UUezRXtZs8V8ZfBjxF8RfhX4s8K6zfeG9PudYgit7e50XTJIREFdXYuWkYtkrwABjjlq9oVSI8cZxTqKpRS2IlKUtzxD4a/C/4m+B9euru/8AEvhrWl1O/wDtWq6hNplx9vuY93Eav54jQInyIoTaoH3SSSfb6KKcUokScpO7CijminzEhSN0paD92q5oge6eAP8AkUdN/wBw/wDoRroa574f/wDIn6Z/1zP/AKEa6I9q+cn8TPqKX8OPoOoooqTUKKKKAG+lVb6z+2W7RCWSIt0eM4Yc54q2KG6VnKKnFxlsxp2dzlmt9d0rmF4dXhUcxTERS9OzAbSfqB9a0NL15dQkMLWlxZzqu5opo8d8cMMqfwNYd1LcaVrFw9xrdnbmaNNqPH8xClu27pz1rb8NRxJp+6K7F6JJHkMy4wSWJOMdua+WwNSTxHs6d4pXum09n066nXUS5OZ2fpdf8A5H43/8i7Zf9fa/+gPXoFko+yw/7o/lXAfG/wD5F+y/6+1/9AevQLH/AI9Yv9wVz4D/AJHuL/ww/U2q/wC6U/V/oT7R6UbRS0V9qeaeWfG37ukfWX+SV5ZXu3jzwXL4u+xiO7W3+zlidyFt27Hv7Vyf/Clbn/oJxf8Afo/41+f5pl2Jr4qU6cbp27GUotvQ81or0r/hStz/ANBOL/v0f8aP+FK3P/QTi/79H/GvH/sjGfyfl/mTySPLdRsIdU0+6s7hd9vcRNDIucZVhgj8jXzHDq+qa98JLD4RSySL4jGvf8IfqckchjkGnwnzpLhSwJYSWQQZONzSn8fu7/hSl1/0E4v+/R/xri7b9jzSLP4qXfj+HUXTXruyWymVVIgcLgCVkB5k2qqbifuooGOc+nhcvxNJPnp+a23XzDlfY+UfEHh7T/hh8S9Y8SfEDw1Drfhi6v7e40rxhEQz6CqhFitXjyGhhV1Y+ZHlT5g3jk41PE3wL+H2oftAaBFc+EdKmi1DRNVv7tXtwRPOLizxI3q37yTn/aNfRPiT9i8eLpJ7fWPHGtahoE94L2XQZ/Ka1dg4cRlvL80xBgD5XmbeMYxxXVXP7NUd14w07xI+qkahYWVxYRKsf7sxzPE7kjqTmBMc9z+HW8Li0k1F3s1pttp137hys+RvGF+3wx1H4saPpkctvJ4ht7O90mK2VEUXl3tsCIx3bzVikYkY+c5rH8Gxz3vhXwT8LJ557i48O+KpNPv32CPfaaf/AKTAzKT8yOjWWSOu6vrLxp+xnovjvxp4W8U6pfsdT8OymW18oFY5DkMokXPzBXVXUcYZQeelLpf7HOk6X8VdW+IMOpyHXdRtUtZUdd0KBVRd6L1VmWOME55CDimsHW9nZ03zWv03Wi/AfKz5v+I3gjw3cfFTw3b+FbFYPiC2qw6rqGsWoZ57WxBPnefIT9yRV8pYyed+VXCnHR+Lmh8XfGrRLC88s6D4Ns38QXrSFSn21w8VtuBH8Ef2iTIPB2H0r2bQ/wBju68Oa5qWqaf8QNYgfUr0313CbWydZmJzsZ2tzJsA+UDfkLwCKu/D/wDZq1fRLzxTqes6pZvqWtarLcFbcSPGlsgEVsnzEYbykQsAANztjPU5ywGJST5W+VWXe73+5bC5WfD8/wAQtI8YftA/Cnx1d+INOigutQ1K2sbMX0Z+x6eLGRYnmAI2yTSEvg8gNGnVTXuq3U3jr46X8MDMdI8H6b5LNhlV9SuxuI/ut5UCoeOQbmvb/EP7JGneIPFHhnxBNexpfeHZZ5rOOGELG7SwtEwkGDkbWyMYweazvh/+ynqei+AdT03Vdcjtdb1ya7vNTvtJykizzlstHKAp3IpRVcgECNeOK0qYOtKKlCm00rdNNX+g+Vny78AdF034S694U8N6/wDDK38H+LdQ0o2lrr1lcQ3Q1CSGFHuVkZMNGx2huQVYg4bgZ9L8ByQ+MPip408TLGktvpbJ4csrjg58sCS62kgEfvnEbDOCYPavTZ/2PNStdWHic+MbvxV4q0yxuINE/t5Yo7W1kkXBbbbxJy2ArOQzbeBV/wAD/slS+E/hNZ+DU8SXFtL9ikhudTs2dLk3Eu557iORmJV2kd3B7ZGOmKyr5fiKl5qPvOyf36tXd+wuVlCiuouP2Zrq4vkuD4v1SMrpzad5ccpCHd/y3I/57Ds/6da0vD/7P9zoWi2Wn/8ACQTah9liWL7VfZlnlwMbpHz8zHue9eVLJsWlpC/9eouWRwtFelf8KVuf+gpF/wB+j/jR/wAKVuf+gpF/36P+NZ/2RjP5PxQckjzWu0+En/I3Dj/lg/8AMVrf8KVuf+gnF/36P+Nbng34cTeGNY+2SXsdwvlsmxYyDzjnr7V3YHK8VSxEJzhZJ+Q4xaZ3470tFFfpJuJXyz8Mf+T5PiH/ANgg/wDoVpX1NXy38N/l/bm+IIx10Un/AMetK8rGfHS9QPo7xNaRX3h/U7ae0kv4JbaSN7WEgPMpUgopJAyRwMkcnqOteIeFdP0m68RQw6v4s1y1e4urO4Gja5aLZyzXEKp5SNJtAlIKRnCMcsvJOa9h8XeIpdHhMEFhqVzcT21xLHPY2n2hYmjTcAwyPmboqn7xGK8J8M6lpuueLtIvPEfhH4neIdW+1wm3ute0sxWFjLkKJlhRlijC5DFipI25Bz1vEWlOIH00v3RivEf2nm/4lehD/ptL/Ja9uX7orw79p9v9B8Pj1kmP6JXpAeA0jdOPSuy+HN1NJfGyFlpUlku65u7rUbNJvIiUfMdxGfoPUisDxJqVvrGt3l3aWcNhayOTFbwIEVV7cDjOOuKAPsPwWNvg7Qh0xYQf+i1rbrI8Irt8KaKPSyh/9FrWvQBWu4TcW7xrI0RYYDoeR7iuckt9d0kZiMWswj/lnIBFNj2b7rH6gV1DdPeuI1Ka+0nWbi5udb0+ySaNI4xcJjhWc4wWH97r3/Cvns15IKNVp3va6tp63Omjdtx0+Z0Gk69HfTGA21xaTqNzRTRFcc46jKn8DXK/Gv8A5Fm3/wCvpf8A0Fq6Xwu8c1vcTpfw6iZJN7SwY2A4AwBk46etc18bP+RYt/8Ar5X/ANBavFzuU5cP15Sd7x8tvlodeDssZBLujtNB/wCQPZ/9cU/9BFaGBWfoP/IHs/8Arin/AKCK0K+uwf8Au1L0X5Hn1PjYlea/Gv8A5B+m/wDXVv5CvSvSuT8e+EZvFlvaxQ3CwGFyxLqTnIxXPmVKdbCzpwV2zKWx4PRXo/8Awpa9/wCgjD/37P8AjR/wpa9/6CMP/fs/41+d/wBk4z+RmHI+x5xRXo//AApa9/6CMP8A37P+NH/Clr3/AKCMP/fs/wCNH9l4z/n2Pll2PiddWvLD4R6z8N7e6nj1mLXT4Tt334nS2nfzEkUyHLlbRy27uY2x0pfG3hvTPh/8QJ9e8Z+HL/WfB1vHanSNcs7l2Tw+sSKpjeFXDJHuTeZlDZ37W45r6Zn/AGN7Wf4sJ49/tdo777NHFJZomIJpUWWOOd+Ml1jnkQc4wR6VW8afsd6v43udStrv4hanD4Z1Rdl9oCW9u0MiFVVkWRojLGrBeQr9S2MZr344OtfSFk9X3u7bW/AfK+x8+eNvgp4J1X4v+E2fTJJYdcTULu8239wFuHCxsrYEnHLt0wOap+J9YuPgP4q+I1rpa3X2LVvDsOq6BDjzI49RjIs2iQZLMWZ7Jjn+8SfWvrW6/ZlF14g0HVxqaxS6NDPDbwoh2FZVRTnvwEGPrWP8Qv2PbT4ja94U1bUtWeG58O3v2y3+zZQScq3lv6pvSJyPWNazp4TEpqM4Nxtrt3uv8hcrPlPw3Bd+G/hrZ/CibUbzUtSt/FUOhLe+T80ltxfMzZOSv2dZFLDuelX/ANoDRdP0rxRputW+jaxo2sLqFmzePGuJGtNPt/PQSxbEd2w6/u9jRpEfMJZxzn6UX9i+w/4XL/wsdtVeTVvsP2RbVtxt1fATz1XtJ5YMefRjVLxJ+xjqniq4uLXVviPrF34YuLk3U2hPFbhHPn+d5fniLzhEGwNu/hAFzjito4Ot7VTUGlu/V7/1sPlZ5v4+WPxh8UPBfhsuslrpZbxLfR7gR+6Pl2u4ZyP3rM4IHWGvG/FnxG0zxd8WfAPit/FtlDp9v4pbS7DT4tQRUWzFrcedcTLkcyzRoBu4CpHjlzn6+8B/sy+IdL8XeNPEWu6nZve6xeJBZRW7SOlvp0CbYE5A2sWaWRgOMykc4zUnib9jXR/EepeHr1hp9pJouoDUYlt7JFErCKSPY/HK4kz9VFRRwdanLllTbSVr6dV/noHKzwv4halJrXxSEqxi50nwDpE+vSwsSFm1GWORLdTledkInbIOQZUOK86+EPiXS9Pk+H3izxf4Q1yLWfFC28Nt4y1DUoplmvLqJ3EAiSctHCdxWNdgH3cqpGa+vvh/+zXrGjr4lvNav9Pk1LW9UnupVgV3jEAxFbpzjJEMce7AxuLdep5nQ/2GZdDuNGWTxnf61ovh6U3Oh6HqKRG3s5djKhLrGJJAgc7N7HZxjoKcMFUUHSlTdkrfnfbzfUOVnn3hu6Pjz45eIdVX59H8I2w0O1bClXvptst4wIOfkQW0eCOpfHevVKu/D39l3WfDPw1j0S91+OHWrqOea+v7PLst1OzPLJGzjnDudu4dhx2q7p/7L+rWM3hyQ+OdUmGj2EljIkjBlv2ZUUTT5HzyLsyG65ZvUg+fWyrEVJaRslovl/mw5WYtFdd4R/Z51Hwv4csNJm8T3GuSWsflnUNS/eXE3J5dhjJ7Z68DJJyTs/8AClr3/oIw/wDfs/41xSynFptKF0TySPOKK9H/AOFK3v8A0EYf+/Z/xo/4Uve/9BGH/v2f8an+ysZ/Iw5JGJ8LP+Rytf8Ack/9BNe815z4R+Gdz4b1yK/kvI5lRWXYqEHkYr0YV9zk2HqYfDuFVWdzaKaWotFFFfQFHzR8aP8Ak634RDqdsxx/31X0PrEMVxpN5FPbtdwPC6yW6DJkUqcqORyRx17188/F/wD5O5+E3/XCf/0GSvevEGtf2WsES291LLdF445Le2adImEbMDIF6D5ce5IHevJw9lOtfv8AogPCvDWl2UuuJYah45vtMsLhbW3/ALC1rTFtLuQQYaOEzvw+MgEoCW/vHrX0en3a+fLVdN8Ua9Y3PioePdflWVDDazaJd2WnQOJA6OY40UHaR96Qtx16CvoNfu1thdmB4z+03/yL+jD/AKem/wDQK+d6+hf2nv8AkA6L/wBfT/8AoFeU/Dy/na/GnR6dpFxFIxmmutTs1m8iNR87ZPQAAnHr9a9ADkK+0fAfHgjw/wD9eEH/AKLFfI/jDVrLWvEV5dadZR6fYs22GGKMRjaBgEqOAT1OPWvrrwN/yJehf9eMH/otaANo4rH1fTby6kWa0v2tXUY8t4w8bc9x1z9DWxWR4ktLy/0m4hs544JnRl3SAkYIIxwePrXBjIRlQlzJytrZOzNIfEtbGdFrOo6bhdT0ougP/HzZHzE7nJT7w6dgetdDbXC3duk0ZyjruG4EH8jXDrfJfCGyufE2nbRJHmO3IWQlWBCg7/UY6V3oG1eteTlVSVSMrX5V3te/qjatFRt38r/qeYeC/wDkqniAf7D/APoa16n6V5X4L/5Kp4h/3H/9DWvVPSvL4R/3Or/18qf+lM6sx/ix/wAMfyQtNbp0p1JX3D2PLPm3xN/yMeqf9fMn/oRrMr1DVfhJeahql3dC+hRZpWkClCSMknFVv+FLXv8A0EYf+/Z/xr8uxGV4uVWTUHa5hys84or0f/hSt7/0EYf+/Z/xo/4Ure/9BGH/AL9n/GsP7Kxn8jDkkfM3xwtholx4P8cRySRN4b1VBc7ckPZ3I+zzgjIAA3xybjnAjPrXO69pOrfFDxB8Trnw7fm2v9N09PDumXKzbI/tG0T3AWRDlcl4oi2NyMhI6V9R+Lv2cz4y8L6roOoX8LWWpW0lrMPKydrKRkZ4yOo9wK5vw/8AsgT+F/hz/wAIrp3i2+tZzcNePrkSoLyS4a4+0PI3yFDuclSpUgoSpyK9WjgMRGmrw95afK9/+AHK+x86fDPwj8PvFWm6n4LvfBeo+EtZg8m/1Lw7eXcwBbBRbmKRJSsiMwcb1ILEZYdK5fwb8D9M1T4I+Kr7w/b3lt4u87VItPvIb6YyCSC7k8hQHcr1ijXJGfevrbwZ+yZfeG/EF54h1XxhdeKPEFzZx6eb6+gihEdujvIsaRwoiD5nJLEEnjnAxWz4L/ZofwTor6Zaass0LXVxdlpkO7dNK0rDjsC5A9q2qYXFRcvZxb1T/wA9+g+VnxZ4g8fXvxH8ReA/iFpN5NaaX4W0/TdTvLCBDJ5rajIIrmJ5OFbyoVJPoSeleiaDZx/EXUvinrN9a32q6SbsaHZ2NpIbeW4hs0/fIjiRA2+4edOWUELtJ25r1/QP2FtJ8O+C/GHhe31V20rxLPcyzQsCFtlmz+6hC42omTtFaWh/sf3Phb4baT4S0Lxhf6Q2m7nj1SALJcSysXaR5RIrJJvaR2IZcZIIwQDWtTBVbWhTatovTd/iHKz52/Z4urHwxq/xJt2km8LaPaXEFzb+E9TZg+jWwhO+ZnYldszK7kRs0a7eGJLAVofCd942+DY1tNDu9el8Ua3H4gutLjultJpbNpB5Me9pVVSIFh4DDp617H4m/Yf1+68M6/Z2/jGXWtd8VyWljrmtamVgkXTUYiSK3jijEaHy2lAUKNzSszGvTPE/7OesatocOn6L4tk8Kywsvl3Om2sMmEClfLKSo67eR0AI2jntSqYKv7Tnpx1bX4L79WHK+x89fDnxh4V8H+BfF6adoV/4XPheSSTVdJ1CbzpIpPISYESCSUMrIVI2t+ArzabQtS0XTfA3hO60XVPEN14ht9S8Sa9p+lXkNm1/dybGaOeUvEPKVp9vBziOMbWxivo3WP2K9abRxpln4lTUn17W7S+8U6tqQMc9zbwIp2RJCqICxghi2gABHcnJ4PY+PP2V73xfNpd9ZeKrnw7rWls5tNS0+NWZVddro8ciskikAcMpwVUjkClHA1qdTmUG1J6/d9+9/MXKz510/wCJWk+F/gf4ifwnocmhatpF5LokXh+aRJDb6q7KI4QwdkZS80bDa2Np7YIHqHw28GxfD3wJofh6OdrptPtUiluXzuuJj80spySQXcuxGTy1aNn+xnqWj6p4atbXWYb/AEqLVbnX9bv73Aur2+KbYiURAhGWJONu3yowM9u9uv2ddTufF2n63/wld1Bb2ttLbtpMYH2WcuVPmOpGSy7eDnjJ9WzzYjLa8lyU4Ozbf/A/MOR9DlaK0tA/ZV1fRY/DCyePdX1E6L9p81ruUudR83O0XHHz+Xxt7jA5657X/hS17/0EYf8Av2f8a82eUYuPwxuLkkecUV6P/wAKVvf+gjD/AN+z/jR/wpW9/wCgjD/37P8AjWf9lYz+Rj5JHnFe7/Cv/kSbH/ek/wDRjVx//Cl73/oIw/8Afs/416H4P0N/DehW9hJKszxliXUYByxP9a+hyXA4jD13OrGyt/kVCLTdzcooor7k1OJ+NX/JHfHX/YDvv/Sd64P9i/8A5N/0P/rvdf8Ao967z41f8kd8df8AYDvv/Sd64P8AYx/5N90P/rvdf+j3rzJf75H0f5ga/wAbtNiuFtp1utU0i4ks7mybVLHTjewJDIYw0c8Y+bBIBUjGCp5HfV+EsFlLb3moxeKY/FmoTCOC4uoUSNY1jDBIxGv3MZY/MSSSfYDP8e+Lru8s4I7OXxPo0H2q4tbg6XoMl1cyeU4XKtsYIjDJV9uWBBBGDVz4P6VoOn2+qTaPYeILe7uGjN7eeJIrlLm7dV2q5M45wBj5QAPSnGzr3QHpVfG3xPOfiBr3/X01fZDdK+NviQ2PiBrjYBxdvwRkda9IDma9S/Zx/wCShSf9eUv/AKElU7zxLD/wgs01/oGiRXeo5hsfs1gkTogOHmyOevyjHcH0xVz9nP8A5KFL/wBeMv8A6ElAH09RRRQAlfNnxu/5Oi+D30uP619J182fG7/k6L4PfS4/rXnY7+GvVfmgPpNelLSL0pa9BbAFFFFMDPuND0+6kaSaxt5ZG6s8SsT+JFM/4RvSv+gbZ/8Afhf8K06KfM+5PKuxkTeHdLWNyNNtAdp/5YL/AIV83fsG6Zaah8KNZe6torp11qQK0yByB5EBwM9skn8a+orj/Uv/ALpr5m/4J/8A/JJdb/7Dcn/pPBXnVJP61BX6MXKux9Gf8I3pX/QMs/8Avwv+FH/CO6V/0DLT/vwv+FadFejzPuPlj2Ms+HdK/wCgbaY/64L/AIVwXxCWLSNa8Pw2dtbQR3E5WVVt0+YbkGOR7n869OxkV5l8Vf8AkYvC/wD18H/0OOvkuJ69Wjl7lTk4vmjqn5o78DThKulKKej/ACZ3i+HtLZRnTrUnH/PBf8KX/hHdK/6Btp/34X/CtCP7op1fU05PkWpwcsexm/8ACO6V/wBAy0/78L/hR/wjulf9Ay0/78L/AIVp0VpzPuHLHsZn/CO6V/0DLT/vwv8AhR/wjulf9Ay0/wC/C/4Vp0Ucz7hyx7GTJ4f0xVJ/s21/78r/AIVxPwzgh1pdWN7bW1x5NyY490CDavpwK9HkXEb/AErzz4Q5263/ANfjV8jmOIqwzfBU4yajLnur6OyVrno0KVOWGqycVdcv5na/8I7pX/QMtP8Avwv+FH/CO6V/0DLT/vwv+FadFfXcz7nncsexBb2sVrGscUaxRr0RAAo+gqeiikUFFFFABRRRQAlMkYIpZiAO5PSn1HLGs0ZR1DKwwQehFS7203A5LUft1vrst5YwWdzDPBGCZZ9hyC3I4PGDXQ6PLcT2aPcxRQzc5SF96jn1wK4zxZujvPJs9L0147cQRFryMnHmPtQKAOFB/rxXSeD5HfRwksNvbypJJG8dqpWMEORxXx+X1f8Ab501e2r8r31todtSP7pM5f43f8i9Zf8AX2v/AKA9egWP/HvF/uCvP/jf/wAi9Zf9fa/+gPXoFl/x6xf7oqMD/wAj3F/4YGtX/dKfq/0LFFFFfanmiUZrzv4ta5f6Mummxu5LUSGTf5Zxuxtx/M153/wnGvf9BW4/76r57F5zRwlV0pxbaJckj6I/Gj8a+d/+E51//oK3P/fVH/Cc6/8A9BW5/wC+q4v9YqH8r/An2kT6I/Gk/Gvnj/hOdf8A+grc/wDfVH/Cc6//ANBW5/76o/1jw/8AKw9oj6H/ABpfxr53/wCE417/AKCtx/31R/wnGvf9BW4/76qv9YsP/Kw9oj6HyOuaM/lXwx4X/aO8XaP4G8ft4r12SbX/AAddXkNxLGEQ3MW3zrSRYwcKZIpIgFzksDzXO6p8cviovizw14T1L4k2PgfUp9Etb37Ze6WJl1W+aRkngTdIigJiP5FIcmUYOK745pTk2nF6f1oPnR+hJo4+pr89/in8QPjv4X8R+FI7D4r2cFv4j1mPSlth4cRhZk28spcM0xLjMJAU4OG68c9L4Z+NfxA8I+PtU8M+NPGA1qOHw+us22oWtj9l80RyulySgLBcBoMAMepPfAbzSlyqUVe+tuvYOdH3H0pa/OXwl+118Rbz4F+ONU129ktvG+kOsFpb2kXmM73scT6cTFjglrmNCvP+rYnmu18VfGj4seHfHnw/0yXUrSLQtRvxp97dCQyXN7J9jklLKm0LCgeMjqzN/sgfMpZpCMmnF9fwVw50fcuaOK+d/wDhOde/6Ctx/wB9Uf8ACc6//wBBW5/76rzv9YqH8r/AOdH0R+NFfO//AAnOv/8AQVuf++qP+E51/wD6Ctz/AN9U/wDWLD/yP8Be0R9D/jR+NfPH/Cc6/wD9BW5/76o/4TnX/wDoK3P/AH1S/wBYsP8AyMPaI+iPxor53/4TjX/+grc/99V1fwz8TapqniYQXd9NcQ+SzbJDkZ45row+e0MRVjSjF3Y1NN2PXqKKK+mLEr5d+G6n/huXx+ccf2Kf/QrSvqKvmL4d/wDJ8Xj7/sCf+zWleZjPipeodT2z4paXr+s+CtTsfDl3ZWeoXEMkPmXyOV2sjLhWRlKNkrhjkDng15hpviK51r+wtD1H4oeA8293Zk22mnN5NJFKjCEFro8sy7ThcnJ45xXr3j+OCTwR4gS6vf7Otm0+cSXhziBfLbL8c8Dnj0rymD4Oz22vaRqPh3S/D9tp9yNNuZ76IeVLavA+6XyAI+Vmj2Jyw/iJBzTrxlz3jr8/0A94XgAV4Z+1C3+jeHR/tz/yjr3NfuivC/2oM/Z/Dn+9cfyjr0gPJtF8SafY+H7rS7vTJrgXMyyyzQXQiLqo+VCCjcA5P1I9BWLqEtrLdO9nBJbW+Pljll8xhxzltozz7VWyKWgD7b8Krt8M6QPSzhH/AI4K1azfDY2+HdLHpaxD/wAcFaNADWHB+lcbrVjfr4gN5bWNrewyQLG32iUKVIZiNvyn+8f0/HsT8ynNcD4itbG3vvssOiWt0LaGIM0zlAiu5VVUBTnnJr5vO/doKT2Tv8/uZ1Yf4rf1+Z1egGf7K32izhs5N3+rgfev1zgVyPxs/wCRZtv+vpf/AEFq6HweqQ2dzAtlDYGKUq0Nu25c4BznA6giue+Nn/Is23/X0v8A6C1ePnE/acO1pP8Al/rojrwatjYLzR2mg/8AIFsv+uCf+gitCs/Qf+QPZf8AXBP/AEEVoV9fg/8AdqXovyPOqfGxab9aWuB+K2uX2jWdi1jcvbtJIwYr3AFVisRHDUnVkrpGV7HffjRz6188/wDCeeIP+gnN+lH/AAnniD/oJzfpXzv+sWG/lZHtEfQ3PrRz6188/wDCeeIP+gnN+lH/AAnniD/oJzfpR/rFh/5WHtEfQ2KPxr55/wCE88Qf9BOb9KP+E88Qf9BOb9Kf+sWH/lYe0R9DfpRxXzz/AMJ54g/6Ck35ivLvD/7T2v2PhHx1f+K9SFvqXg27u49QigHlh4VXzbd0VmJ/eRMgBONzbgK2p55RrJuEHpb8Q50fa3X60cV+fUf7RPxevNe8NeF9R8VaF4N1+80S31MnVNPkkS/undvMtIR56gCMbFf5mclgVGK3vi58avi54J1bwp/ZnirRRZ+INctdEWC50eaV7YyROzSmQXSiTDRHC7F4YDPGT2f2lSTUWtWPmR90Zo4r420n41ePdH+I8HhbxFrdneJc6IdQt76zt2tvNnjnZJ0ETSSYVY5Lc53dS3rgcL4X/bE8ba58HfGfiSWOSLX9LuWh03T9uGuUuAj6e5Qtn51mizyMkNjFR/akHrGLa0/EOdH6BfjS8+lfCnxN/aE+K/gPxJ8O7OObTZdI1jWbPRtR1CQuJpppY2ZmghBIiQeU/wB92PzKMcEn2X/hPfEH/QTn/MVhWzqjRjGUovXsLnR9DfjRivnn/hPPEH/QTm/Sj/hPPEH/AEE5v0rn/wBYsP8AysPaI+hvxo59a+ef+E88Qf8AQTm/Sj/hPPEH/QTm/Sj/AFiw/wDKw9oj6G59aPxr55/4TzxB/wBBOb9KP+E88Qf9BOb9KX+sWG/lYe0R9DY/OjtXjnw98Wavq3ii3t7q+knhZHJRiMcLXsfavcweMhjaftIJpeZafMLRRRXojPmn4ufN+118J1HJFvOcf8Bl/wAK9y8cQ+ILrw3dReGJbGDVmXakmoBygBBzjYQQ3TB6V4f8UP8Ak8T4Wf8AXlc/+i5q+gPESo/h/UhJdGwjNtIGuh1hGw5f8Ov4V5GHXv1vX9EI8R0DxB4yjsdH8Oa3478E2d3Cttb3arcyNqe5doZSTNgysRgnGCSeO1fQC8cV836Z8IJf7O8MXOgeG/DepWmoabpfnalGwhNnLCTI9zFmLdIJAy9w2VGevH0gvC10Ybm1uhnjH7Tn/IB0X/r6f/0CvGdB8RWGl6Jf2Fxp88sl46+ZdW9ysT+WvIj+aN+CeTjGcD0r2b9pz/kA6L/19N/6BXzvx0rvAs38lpJcE2UM0EGBhLiUStnudwVR+lfZvgn/AJE/Q/8Aryh/9AFfFVfa3gr/AJE/RP8Aryh/9AFAGxVDWYftWm3VuvLyxOgGcclSOvarzfNWVrsFoLOW9urdZxawyMOOdpX5gPqOK5MVf2Mku3/Dlx+JHP6XHqsK20U2i6aCu1XkScdupA2fpmu07GvNIrW3s51lk8O6dCI3iLss5LJvIAP3OcZr0r+H04r5/I6nNTnDt+X3I6sRFJprr/Xdnl/gv/kqniH/AHG/9DWvVBXlfgv/AJKp4h/3H/8AQ1r1QVw8I/7nV/6+T/8ASmb5j/Fj/hj+SFoopnWvuTyx340V4Rr/AI01u11zUIYtRmSKOd1VQRgAMcCqH/Ce+IP+gnP+Yr5aef4eEnFxehHOj6G59aOfWvnn/hPPEH/QTm/Sj/hPPEH/AEE5v0qP9YsP/Kxe0R9DYoxXzz/wnniD/oJzfpR/wnniD/oJzfpS/wBYsP8AysPaI+hqP1r55/4T3xB/0E5/zFcT8Xvjp4q+HPhWLxDHqBfT7S9txqbS/wDLO0eRUkkGOhTcG78AjHerp5/QqSUIxd2PnR9d8U6vjDxx+0F420fx5pWhaG7aokelXutaqrFhIIY0228cRCkb5JjjnJ2xtwa5z4R/G/4qfFLwjHr9j8RPDV1HqFqrm3t9JlZtJusITA4+0gyADzAd3ltnaw4+WuxZrS5OdppBzI+8OKK+Dfhv8aPjT44uPG0b+LfD8Z8P6vdaJFGuizL9olS3jeOUsbpti75lyu1jhCARnIyPFH7aHi7QfhT8OvEkdzGNW1yWNtUtLpGX7PbwoTfyIoOf3bLtGSfvrmreZU+blirvT8Vf8g5kfoTxRxXxzffG/wAe6h8SNU8OaBqVo0NjoAvWlvg/y3kshW3Vtv8Ayz2xylsc/dxVDwV8Y/iZp/xO1Dwb4o8SWOukaVHq8N9pti1m0W+d4zE8bSyAr8vytkE4YEcZrL+16PK3Z6K9vIOdH2tz60c+tfPP/CeeIP8AoJzfpR/wnniD/oJzfpXH/rFh/wCVi9oj6G59aOfWvnn/AITzxB/0E5v0o/4TzxB/0E5v0o/1iw/8rD2iPobn1o/Gvnn/AITzxB/0E5v0o/4TzxB/0E5v0o/1iw/8rD2iPoaivnn/AITzxB/0E5v0r1/4e6hcap4VtLm7maedy4Z26nDkCu/A5tRx1R04JppX1HGXMdRRRRXulnE/Gv8A5I746/7Ad9/6TvXB/sX/APJv+h/9d7r/ANHvXe/Gz/kjvjr/ALAV9/6TvXBfsXn/AIx/0L/rvdf+j3ry5f75H/C/zEafxAu/HujeMotVtNa8LaR4YjtpokfWXmjQO7QbfNxIoZ8q+0jGAWB5Irb+F2q6lrs2q6hqXiTQddlby4kh8OSs9vAq7jltzsd7FjnoMKKofEnwXYeNvGVhaXn2G7kOh6jFFaXy7zE7tbhbhFKkfKflJyD8wxnmn/B/wfqPh651i7vfDel+FTcrBALPS5llSZogwM5KogG4Mo29fl5pxUva91fuM9PPSvjT4iMv/Cfa4WXcv22TK5xkbume1fZbdK+MfiFz4617/r9l/wDQjXpgTeJvE2k+JJ2nOl3lrKsKwwRx3qeRCqrhQE8nO0dcbvXmus/ZxH/FwJf+vKT/ANCSvLK9S/Zx/wCShSf9eMv/AKElAH09RRRQAlfNnxu/5Oi+D30uP619J182fG7/AJOi+D30uP6152O/hr1X5oD6TXpS0i9KWvQWwBRRRTAKKKQ9qAIrj/Uv9DXzN/wT/wD+SS63/wBhuT/0ngr6ZuP9S/0NfM3/AAT/AP8Akkut/wDYbk/9J4K8yp/vcPR/oI+n6KKK9MY0968w+K3/ACMXhf8A6+G/9Djr08968w+K3/IxeF/+vhv/AEOOvjOLP+Ra/wDFH80ell/+8L0f5M9Oi/1Yp9Mi/wBWKfX11P4InmhRRSZFagLRSbhS0ARzf6t/pXnfwg+7rf8A1+NXok3+rf6V518H/u62P+n1q+LzNf8AC1gX/j/JHqYf/da3/bv5npNFFFfaHlhRRRQAUUmaWgAooooATtVa7aSO3dok8yQKSqZxk44GatVWuphbwvIQzhFLbVGScc8e9ZVHyxbbsNbnAf25faq00N3p+mW00yCOSG8kdGZew5TDDk9Cetdd4bsG03SYrc20Frtz+7tmLJ165IBJ71w2oeN4dfheCcx6dbOCCJLSSeX8tu0frXY+D47WPQbcWU81zb5bbJcAhj8xzwQMDPt0r4rKJqpjHKMnJWer069rXPRxCcYWatrscv8AG7/kXbL/AK+1/wDQHrv7OT/RYh/sj+VcB8b/APkXrL/r6X/0B6gh+HfiGSFGXxPcAEZA3Px/49XlSxmJwefYn6vh3UvGN7NK33nUqMKmDp881HV738j07cv96jcvqK81/wCFb+Iv+houf++n/wDiqP8AhW/iL/oaLn/vp/8A4qva/trM/wDoAl96OX6rR/5/L7mV/jX93SfTMuPyWvLq6vx54b1Hw/8AYTfarLqQl3hRIWITG3JGSeuf0rlK+SxuIrYnESqVqbhLs2n+R5leEac7QfN5/wDDhRRRXCcoUVHcXEVnbyTzyJDDGpd5JGCqigZJJPAA9TVaTXNOh0d9Xkv7VNKSH7S180yiAQgbjIZM7Qu3ndnGOaqMXLZAXaKwLn4geF7LWLTSbjxJpEGq3io9tYyX0SzzK2dpRC25gcHGBzisq8+N3w70+8ms7rx74YtbyCRopYJtZtkeN1OGVlL5BBGCD3rWNCrLaL+4DiviP8H9b8WfFDTZ7Q2g8F6m1pJ4kt5X/eTNZyPNbqqbcEO/lq5JztQCrnxp8P8Aivxtp+p+GIvBHh3xNoeoQGO2vNS1JoDZSGPb5kkfkuSVYllaNg2PQjNemaf4i0rVob2ax1KzvYbKV4Ll7edJBBIgBZHIJ2sAQSDgjNIvibR20e31carY/wBk3IjMN/8AaU8iUSELGVkztO4soGDyWGOtdixNWLhePw6L9Pn+hZ554g+GOs3ml/CSzivF1KXwrqlrc6he3LlXnSOynhaQAkkszyKcE9zzVf8AaC+F+u+Pv+EdvfDU0cOpWclzYXYluWgD2F1C0c+CFJLqwhdenKV36+PvDDeIv7AHiPSW1/n/AIlQvojdcDJ/dbt/Tnp0qXxP4u03whDpz6jN5Z1C/g021QY3SzyvtVRk9huY+iox7ULEYiM4Nx1V7ab33JueY+LfgzqWtfF7wxqds0P/AAiVuLW51K3aUpI1zZeabMqFHzfPMrEscYhUYqX4uab491rxp4WudB8K6fqWmeH9RGorcXGtfZ3uSbeWIps8ltmDLnOTnb0GePULrxNo+n61Y6NdarY2+rXyu9pYTXCJPcBQS5jjJ3MAMk4Bx3qHXPFFloOo6NZXKzPcarcm2t1hiLgMI2kZnP8ACoVDknuQO9OOJrOUZON7J2/Vhc0NNkuZ9PtZL23W0vHiVpreOTzFjkIG5Q+BuAORnAzjOBViuZ8N/E7wd4wv2sdB8WaJrd6qGU22m6lDcSBAQC21GJwMjnpyKuz+LNOh8XWfhsyM2q3VlLqCxqOFhjeNCzHPGWkUD1w3pXDKlPmacbMRs0UUViAUUUUAFdr8JP8Akbv+2D/zFcVVebwH4g+IN9bWXh7xXd+ErqMNK1xZs6mRcY2kqQcc9M4/IV35fJxxNNxV3cuO59WhqMivl7/hmP4o/wDRata/7/3H/wAdpP8AhmP4pf8ARata/wC/9x/8dr9O+s1v+fT+9HQfUOa+Yvh6Cv7cXj330PP/AI9aU3/hmP4o/wDRata/7/3H/wAdrm/2d/DOqeD/ANrDxbpOs63N4g1GDQm83ULhmZ5cyWxGSxJ4HHXtXFXrVKlSkpwcde6A+r/E0lpD4d1OS+ma3s1tpDPMmMpGFO4jPoM14j4Hj07TrSK48/x3plrpupWNnHp99qiONs7ReSzorkCMmRAUzkA4x1A9u8SHT/8AhHtRGrNGml/Z5PtbTEBBFtO8nPbGa+bvCP2aTxZpc+sal46j8O6pqEElmmr6PDa2088OxbQTTIPMxlY9oYIHYAnNd2IdpxA+pl+6K8L/AGof+Pfw7/vXH8o690X7orwv9qH/AI9/Dg/2rj+UdekB594XuNW0vwet34djY6nLqDQ3EkEQklEexDGpyCQpbf8AXv0rF8fw2kHiq8WzVI49sZdIwAqy7F8wADgAPuHHpWFHNJDnY7JnrtOKZ97ryTQB9w6Cu3Q9OH/TvH/6CKv1S0cBdJsQOnkJ/wCgirtADG4Q4Ga8+l1qfVJ5obnS7SCeVfIaG6uWjZ1znH3MHr1BPXjrXoEjbVLeleYap8QrTXN8Ei29pb7ipa8geZ+COQqjH618nntSMIwTnZu/u2vf/I7cNFybajfz7Hb+F7FtP08xNaxWh3Z2xzNLnPcswBJrlfjZ/wAixbf9fK/+gtW74DW0XQwtnfT38Suf3swKnPcAEDA9qw/jX/yLNt/19L/6C1ednV48OVbK3ubafpodOD/36GvU7TQ2H9kWXP8AyxT/ANBFXt49a8p0/wCH3iK4s7eSPxLPGjRqyoHk4BHA+9Vn/hW/iX/oaLj/AL7k/wDiqnC51mCoQSwMnouq7CqYajzv98vuf+R6Z5gHevNfjUwbT9Nx/wA9W/kKZ/wrfxL/ANDRcf8Afcn/AMVXM+OPC+q6BbWr6hq0mopIzBVdmO0468k1ljM2xtehKnUwcop7ttWX4nPVw9KMG41U36M5Ciiivkzxwooop7gFFVk1Ozk0/wC3pdwvY7DL9qWQGLYBnduzjGO9UbrxhoNjdWNtc61p1vcX+DaQzXcaPcZGR5YJy+R6ZqlCT0SA168M+Jvwd1bxB8W9PvtLtom8K+Io7WPxWh8pQ/2KbzrZmVgTJ5m5omx0VV5r1m48beHbOeSGfX9LhmjYo8cl5GrKw6ggng1oWOqWWqLI1ndwXYjbY5glVwrYBAODwcEH6EV10Z1sK3JR37oDyX47aP4j8aabqHhZPhzYeLdKvIM2eqTalDELG4KlRLIkgDqULFg0W9sDGBmneLvhp4ju/C/we0xZjrl74a1zTbrVdQllCtJHBbSxyzne2WJZlOMk/N9TXq0WtafNpq6hHfW0lgw3LdLMpiIzjIbOMZ4qvJ4q0SHWodHk1iwj1aZTJFYPdILh1HVhHncR7gVrHFVeWMYx2v37WHqeY/tIeA/FfizSdMu/BUSSa8gudMkZ5khCWl3A0Ukhduf3beVJheSY+AaxPEPwN1K0+MXhi48P2NqPBFxaWUetxsR5kcmnMzWTAltzkiQLwD/qgT2r2nxF4m03wrZwXWqXS20M9zDZRZUs0k0riONFUAklmYdBxyTgAmrlxqVpaXFtbz3MMFxckiCGSRVeUjkhQeuPaqp4uvTpqMVpr/Xy3KPEf2hrHxv4i8QeCoPDfgO512w8P+ILTXpL6PU7SBZVjjmVoVSSRWDZkHJGOK9u024nu9PtZ7m1ayuZI1eW2Zw5iYjJQsvBIPGRxxVLXPFGmeG201dSuhbvqV4lhaLsZmmncMVQAA9lY5PACkk8U/8A4SbSG1r+xxqtkdW2eZ9g+0J5+3+95ed2OOuKwq1J1aUIcmkb66kGlRWdfeILDT9W0/S5rgLqGoCRra3wS0gjALnjoACOTxyB1IrRrjcWtwCiiipAKKKKAOs+Fn/I42v+5J/6Ca95zXyZfeCfEPju8stP8OeKLnwteqzSG6ty6llC9MqQ34A49atf8MyfF3/otWqf9/7n/wCOV95klapTwzUYN6nRDY+qc0Zr5W/4Zj+Ln/Ra9U/7/wBz/wDHKP8AhmP4t/8ARa9U/wC/1z/8dr6H6zW/59P70Wa3xOPmftjfC1R1FjcnH/bOf/CvofUnhj0+5e5kWKBY2LyNgBVwck544HrXxp4d8A+Jfh7+1h8PbPxP4ruPFl1NbXMsV1cPIzRp5E42fOxOMjP419k6pHazaXdLe+X9jeJln80gJ5eDuyT2xmsMHJydWUlZ32+QkeLeAdW0mLR5ZNO1HxjYaRpbW7Qw3wgSOWCZ8RPGhG4Q46KQpC4AUcCvd1+6K+T/AAzqVhP4gs7eTxB4zbwfdNawRahqHhwQWd3FGwFrG13tDbSxVdxVS+Rk85r6wX7orqwkrpjPF/2nP+QDov8A19P/AOgV5n4Z+16f4DudQ0W2WbV/7REMsiwrPJHAYsrhWB2gsWye+AK9N/aa/wCRf0X/AK+m/wDQK+eobiW3yYpHjJ67WIzXoAdH8Q7eC38QIIoYra4a0ge8ghQKsdwYwZF2jgfNnIHQ19Y+Dxt8KaOPS0iH/jgr4oJLEk8k8kmvtrwsNvhrSweotY//AEAUAajdOlc94s1a4023jWOw+2xTEpLuJ2opH8WFJwenSuhPeua8YeKofDFrC8kTTNM+xAAcDuSxwcflXl5lNU8LOUp8vna/4G1GLlNJK5jWdv8A21dWtwNO0+48jaiyRXzttVTxkbece9d4v3Pwrym31bTda1m0urjU1s7gOAsdhBIpY8fK0hXkfgOteq9j9K8fIpc1OpK2/XTXTey2+ZviVytI8u8Gf8lU8QfRv/Qlr1LcPWvEY9Fvte+ImuQWF+2nyqzO0qFgSNwGOCK6D/hWviX/AKGi4/77k/8Aiq+O4fzLG4ajVp0cLKcfaT1TSXxPu7nq4yhSnOMpVEnyx0s+yPT949f1pCw9a8z/AOFb+Jv+houP++5P/iqT/hXHib/oZ7j/AL7k/wDiq+n/ALbzH/oAl96/zPO+rUf+fy+5/wCR574m/wCRk1T/AK+ZP/QjWZVnVLaWz1K7gmmNxLHKyPK2csQTk81Wr4ipOVSblKPK307eR400oyaTuFFFFQQFFV5tQtbe7t7SW6hjurjd5MLSAPLtALbV6nAIzjpmkl1K0guvs0lzDHceWZhC0gD+WCAWxnOASOelVyvsBZrN8TeH7PxZ4d1PRNRVnsdRtZLSdVODsdSrYPY4PWqtr468N32nyX1t4h0q4so5TA9zFexNGsg/gLBsBuDx1qS38aeH7xisGu6bO2QNsV5Gx5IA6N6kD8a1jTqRfMovTyA8v+AvgPxl4P0LW9R8WxW954uMUOl27G6Zkuba0jMcEjvlsGVjJISV3AycjjFReB/CviHWPi8njC98Cw/D8LYS2+pNHfwTyavK5XZuEPDLHtJEj4f5gAMZFeyzaja2t3bWs1zDDc3O4QQvIA8u0ZbaOrYHJx0plzrFhZNOtxe28DQRiaUSSqvloSQHbJ4UkHk+hrseLqScpcuslbrt5FnA/Bnwfq/hO++Isuq2v2ZNY8V3Op2REiv5tu8Fuiv8pO3LRvwcHjp0rivC/wAE9aufiF46g8QxKng9rO+s9CaOZZHcajL5145BJZGVo41AIAwTjNe4aLr2meIrFL3SdQtdTs3+7cWcyyxt9GUkGqSeNtDa61eA6jDE2kyxwXsk2Y4opHQOqeYwCltrKcAnG4ZxkVUcVXUpOK1dr6bWt/XzJ6nl3wf8P/EDwj8N/EWp67pQvfHZgjgtLCS+idbn7NapFFmUYVRLIryHJ+XzecYpnwFs/GWmavqcvizwLeaXq2rf6VqXiK61WzuBcSrhY4UihdikaqSFHQAHJJOT7Lpuq2WsW/n2F5b3sG7b5ltKsi5HbIPWs3T/ABxoGqQ6xNbarbNb6RdvY307PsjgnRVZ0LthTtDrkgkA5B5BATxFSop3h8W++nZBqblFVNL1iw13T4r7Tb231CylGY7i1lWSNx6hlJBqDw/4k0/xVp5vtLuPtdoJpYBMqkKzRyNG+0kfMNysAw4OMgmvO5JJNtbCNKiiioAKKKKACvdvhZ/yJVl/vSf+jGrwmqGn/AP4keKI5NU0b4q6joum3MjtDYxyzqsI3EYAVwv5Cvo8kqShiG4R5nb/ACNKe59aZozXyt/wzH8W/wDoteqf9/rn/wCO0f8ADMfxc/6LVqn/AH/uf/jlfdfWa3/Pp/ejc90+NJH/AAp/xz/2A77/ANJ3rgv2Lv8Ak3/Qv+u91/6PevKfH37PHxP0PwP4h1C++LupalY2mn3FxcWUk9wVnjWNmaM5kIwwBHIxzXq37F3/ACb9oWf+e91/6PeuanUnUxcXOFtGI2/jRqGj6Xf6LeXP/CQSatZx3FzBH4dVPOSBQvnSSM+FEQ+QFWbDEr8rFRjqvCMsVvfX+nnU9T1GeOKG4Lag0Zwkgbbt2Ad0bOR29K4f9oCaxt4rDZea1B4gura5tILXQtMF/Pd2rGPz0MRGNowh3blI7E5IN/4F3kWpWuqXc+patfa9mKG8t9a04WFxaRqGMMfkgcKVYsGy2d3XOQOmMv8AaHEZ6s33TXx34pjtrj4najHdtstG1RlmYnGEMmGPtxmvsRulfF/j7/keNe/6/Zv/AEM16YHeaok0s/jKw1Owt7fQLK1mbTX+zJGqSB18gxyBckuvPX5smq37OP8AyUKT/rxl/wDQkrzF7mWSNY3ldo16KzEgfhXpn7OP/JQn/wCvGX/0JKAPqCiiigBK+bPjd/ydF8Hvpcf1r6Tr5s+N3/J0Xwe+lx/WvOx38Neq/NAfSa9KWkXpS16C2AKKKKYBRRSN0oAiuP8AUv8AQ18zf8E//wDkkut/9huT/wBJ4K+mbj/Uv9DXzN/wT/8A+SS63/2G5P8A0ngrzKn+9w9H+gj6fooor0xjT1rzH4rf8jF4X/6+G/8AQ469OPWvMfit/wAjF4X/AOvhv/Q46+M4s/5Fr/xR/wDSkell/wDvC9H+TPTYv9WKfTIv9WKdkV9dT+CJ5otMk+6afTJPun6VqI+U9R8f/ELU/GXiu10/xXb6Xp2l6hJAv2xI1VVMjqigiNieFPX0qP8A4S74j/8ARSNF/Nf/AIxWHqH/ACHPib/2Gh/6Onrnq97EYn2EowjCNkl0XZM8DDYb28HOU3e76vud9/wl3xI/6KRov5r/APGKrWevePtPVxa+PvD9tvO5vJRE3H1OLfk1xVFcbxik1J043Xkjs+opKyqS+9ne/wDCXfEj/oo+i/mv/wAYpf8AhLviR/0UfRfzX/4xXA0Vf1+X8kfuQfUI/wA8vvZ3v/CXfEf/AKKRov5r/wDGKfH4p+JU0ionxH0VmYhQuV5P/fivP6s6X/yErT/rsn/oQprHu/wR+5C+oL+d/ez3X9nXxn4m8UX3ia18Rag1/NYSRxL8iKFbLhsbVGfujrXuHpXz/wDs0/8AI2fEH/r9T/0OWvoA9j2rHMIqOIairLTb0Ly+UpUFzO7u/wAx1FFFeeekFU9Qtft1q8PmyQ7xjzIW2svuDVtar3lut3byQsWVXXaSjFSPoR0rGpHmg42uNbnOR2ut6WcLLBq8HYTARTKM/wB4fK2B7D61o6Trf2+Z4JLK6tJkGSs0fyn6MMg/nXK6tpjW181tp1tqGpSxqHk3ao8SoDnaOScng11HheSOTSkEaTRlGZHW4lMjhgxBBYk55zXymAqT+texj7sVfR6p90nZfmzsqxXLzb/16nJ/HD/kXrL/AK+l/wDQHr0Gz/49Yv8AdH8q8++OH/IvWX/X0v8A6A9eg2P/AB7xf7grPAf8j3F/4YGtX/dKfq/0LFJzS0V9qeaeV/G77ukfWX+SV5bX0D4w8FweL/snnXEkH2csR5YHOcev0rmv+FLWX/QQuP8Avla+EzTK8TicTKpTWjsZSi27o8jor1z/AIUpZf8AQRuP++Vo/wCFKWX/AEEbj/vla8n+wsZ/L+KJ5GeP3FvHdW8kEyCSGVSjowyGUjBB/CvlfThd614btfgTcOLi70vxIum6iWGN+hw7b2J/3ZGwSQmCAZz/ABZ65H6E/wDClbH/AKCFx/3ytYK/sweFI/GD+KljI8QtaCxOobF8zyQ24J9M/j09BXo4XLMXQUlKF+q1W/QORnx74ssbv9nvXPFfjS8sbHxN4F1bUYdT1DzlA1LTJT5ce6MkFZYlKIVT5WXccE456rXvDulTftCeFQ+mWbrL4c1aRw1uh3t9osPmPHJ5PPua+grv9jfwNfam17cLeTs139uNvJcyNbG43bvNMBby927nO3rzXSTfs86FNrlrrD3Ezana28lrDcEDckUjIzr9CYkP/Aa6ZYDFWT5dbNPVLpZf8OPlZ8Q/FTU08E+KviD4ftpI47zx5Z6emnxvclGa6mkXTpCi9giNA5I54NZngezja+8L/COV2lPhHxTcTtHc3H757C2RbqzkAUfdBurZcH/nma+4Nb/Zb8JeJNe0bW9Tg+2ato0jS6fdSRrvt2YYJH/1+h5FLZ/st+EtP8ZX/iu3RovEV9Altc36qN8saY2qe3GB78CrjgcR7JRcNbd1utF+AcrPlbx9pemfELx9o/hPQNNiS50fVLbW9a1q2jVPsexvMWESAZM0pABXshYkjIzq6ozeKPjhFczRSy6R4H0yS6CxIzGS/uVKggA4Ypbq4C4zm44r6FsP2RPB2mahLe2c2qWs81017L5Go3CJJMzbmdkEm05PbGPwqXwP+zHaeEpNfurnXJtR1HWNUn1Ge6W2SL5WIWGLAzkRxLHHknnaTxnAyllmIUfdV7Kyv57v7g5Wfn/N4th1D47fC7xfrltrEGt6lquok2Mmi3yNp9n9gkjt7ZA8fztkmSQxjG+RyflANe6aHM3xC+N3iPUQQ2j+ErP+wrVhtYNfzhZbtgQcjZGLaPBHVnr6e1X9mzw7rWraRqt28k+paQ8slhcMozA0kZjcgD1Ukc+tYvg39lLSfD/gObw3qWrXGsC++0NqM/l+ULp52dpjjcxUHeQBuOBgZ4rSpgMRUinGFmlbdaK/T5aBys+WvhnJrfwd17wD4A8RaT4euTqWnyWFlq+iB0mVrS3Vn89XX5g6j7ynqBleeOu+F91/wmHjLxt4uUE2LXg0PTpDnEkNoWWVxyQQbhpwGHUIK9ub9jzwzp7XeoaNfXlr4kaymtLLWNQlkv5LLeOqCVzgA4JUFc4xmrnhn9k3wv4d+Gdn4H86afRobD+z5oyip9oUqRI7bQPmkJZmI6liayrZZXmnKMfelZP82/yDlZyNFd9N+y74VuLpLqTzjPHYNpavuIxbN1jGD04HPXjrWhof7P8AovhvR7PS9NuZ7aws4lgghUAhEUYCjPPArzJZHibXjHX1QuRnmNFeuf8AClLL/oI3H/fK0f8AClLL/oI3H/fK1H9h4z+X8UHIzyOu0+Ef/I2j/rg/8xXUf8KVsv8AoIXH/fK1reGPhvbeF9U+2xXU0z7Cm1gAOcf4V24LKMVRxEak46J9xxi0zs16UtFFfoZsJXzH4H/d/tyeNQOjaFz/AN9WtfTlfMfgn/k+Xxl/2Av/AGa2rzMZ8VP/ABIR7d8TfEGh+H/Bupv4h1C007TbqF7QyXqGSN2dSAnlqQ0mRn5VOSAenWvF9JuL3xtcaH4Zg+Ktj59m0V3b6fdeF5rV7oQ4aPPmTqZApCvhT/CCcivTfiYo0rxV4T8SXOkTavp2ltdJO1rE00to0iKFnEaglgNjKccjzMgVjeLPFmn/ABCutA0vQNN1C9v4dWs703UtjNbR2cUcqvK5kdAMlFZNvU78VNa0p6vbprqM9L8O2mqWOlRwaxfw6pfKTvube1NsjDPGE3vjAx3ryL9qD/j38O/71x/KOvdF+6K8L/ah/wCPfw7/AL1x/KOvTSsrAeS6X4PF9oaatc6naadaPctajz95YuFU8BVPGG6+1ZOsaZNouqXdhOVM1vIY2KHIOO4PpWhJrkD+D7PSQknnxX8t0zYG3Y0cagA5znKHt+NV/E2qR614gvr6BWSGeUugcANjA64J/nVAfael/wDIMtP+uKf+girVVtP4sbYf9Ml/kKs0AVL+2a8tJYllkgZ12+ZGcMvuPeufjt9b0p8b4NXt/wDpoPJmH4j5W49hXRXEIuInjLMoZSpKnBGfQ9jXCaro8drfGzsI9W1G6WMSuBqTxoqkkDLFupweAOxr5rN/3ajWUW2tLp6+lrO510LO8W/w/U6jS9eS9uPssltcWlzt3mOaPAIGM4YZU9R0Nct8bP8AkWbf/r6X/wBBaui8JrELOSOMXKPHIVkjvJTJIjemSTxjBGD3rnPjZ/yLFt/18r/6C1eTnU51OHq8ptNuPQ6sGlHGwS7na6D/AMgey/64p/6CK0P4qz9B/wCQPZ/9cU/9BFaH8VfXYP8A3an6L8jzqnxsRq80+Nn/ACDdO/66t/KvTa5rxj4Pj8XQ28clw1uIWLZVQc5GKyzCjPEYaVOC1Zk9VY+fqK9Y/wCFK2//AEEpv+/Y/wAaP+FJ2/8A0E5f+/Y/xr8//sXG/wAn4ow5JHk9Fesf8KUt/wDoJSf9+x/jS/8AClbf/oJTf98D/Gn/AGLjf5fxQezZ8FPMsPhHXvg/Gxjum8Spo0UEb7DHplyWuwV2D5FFus8YJ7xnNb/jzRZvg/r/AIl8cy+HNL8U+ELiO3ub5ZAovtLSCNULQhl2yRAIrbAVYHeQTwK+rJv2T/C9x8QIfGjzTHxBFafYluOi7MvglM4LASOoY8gMR3rN8Q/sX+EvFGvTanqGpaxILg5ubCPUJ0srnChf3luJPLbhVByOcDOa9uOAxPMrw0e+2r0v10K5WfP/AIs8LeHNT+L3w/uBommyx31tqM8pezjJlJSJgz5HJ5PJ9a434pXV18JvHXjePQ4vJl8ceHIY9KjinCFNUhkWzXy0I2qNl3bMf+uRr7Yuv2ctFvNZ0vVZbuX7bpscsdqyoAI1kCh/lBx0VfpWf4r/AGU/C/jjUtAv9ad7260K8F9YOyAeVMARng8joceqg9hWdPAYqM480LxSs9V3uv0DlZ8TaHptp4V0ux+CttNPIIvFsMFvHPeKJ/7OWP8AtAuFxkoPLMWD13cntXR/tIaLLDZx3j+GNNt/Dkep2N9qfiSzkVtViEdzEcRRlVwSVRS/mMQm75CcCvrCP9kfwlH8SG8dDd/wkzWP9nNebBzDuB6Zxu4A3dccdKydQ/Yh8GaprR1C8vtWuoGnN0+lzX87WDzGXzd7Wxk8snzPnxtxu5xW31HEe1jPl2323fzDlZ414q8vxd8YvC+kfvHtfDto/iG5wDsMsm+C2BGME8XDYyCCgIr548R/Fjwp4m+K3gjxbqGo3DaovioQW1s+nXI+waalrcoFUGP5mllZZH25JzGMYjr788C/ssx+F9b8X61f6+2pap4g1I3RmW1Efk2yIsdvb/eOQiKSTxlnc45rY179mnRPE15o11qF5cSzaPe/b7MgBdk3lvHuODz8sjjB9aKOAxFCVuS6ta9113/EOVs+WfFk154i+Ker6taxrcW3gPQ7iSzTaWEmqXMROcK3JSBQuCP+Xg4NcF8J/E918O/BXwo1PWfCOim18VzWdp/atpcPNqQvbuNnM8oeIcOxbcA/yBjyQMV9peA/2ZY/CcOsPd6219qOq6ncahc3K26oMO5EUY5JxHEI4xnrszxnFYuh/sQ+C/DOrJqOlz30M9uZJLG3muZZbWxkdWVmhgZ9kZO5s7R3PrSjl9bldKUPd06+v6u4crPFvAskvjb4veLvFMiyrpeiqvhrS1csEd1bzLydVIxzIYotynn7O2fb1Wuq8E/sq6f4U+Hdr4Vn1qe7H2eRLy6hj8k3EspZppBhsqWZ2PByM9aksf2TfDWny+HZYb6+D6DYSadY5mc7YXVFYMN3znEa8tkjFcFbJ8TUlpHRaLbZfPqLkZyNFeheFP2btI8F+HbDRNLv7qPT7GPyoVmYysFyTgsxJPXufbpWv/wpS3/6CU3/AH7H+NcbyPGX0jp6oORnk1Fesf8ACk7f/oJy/wDfsf40f8KUt/8AoJSf9+x/jUf2Jjf5fxQvZs5T4W/8jlaf7kn/AKCa944rhvDPwzg8N6tFfpeyTNGGXYyAA5GK7jNfa5PhauFoOnVVnc2iuVajqKKK94o+aviQw/4bS+GC9xptyT+MVzXuvjLWdJ0HwxqF1rV7Z2OneSySzXxHlcgjDDI3Z6bRyegrwb4jf8ns/DP/ALBk/wD6Kuq9W+Kix20vhrVbzTJ9V0vTdQ+0XKW8TTND+6dUl8tQS+1yvAGRnPavGoycXWa7/oB414N8UT+M9G0zwTonxK8K3UVosIt7aTSLqGWaGI5SIF5l3gBQPl+YheT1J+jPDEGvW+mldfu7C7vt5xJp1u8EW3AwNru5z15z+FeceMvHHh3x9p9npWhpPrWr/breW38i0kBtHSRSZWkZQI9qb85IJGV5zg+wJ90V0YeKTdncDxj9pz/kAaL/ANfL/wDoFeN6P4NbVNBfWJ9Ss9OsUufsrPcls7tm7gKpJ4/rXsn7Tn/IA0X/AK+X/wDQK8X/AOEgt/8AhAjoeyX7UdTF7vwNmzyimM5znJ9OnftXogUPEGiXHh3V7nTrko00BALRtuVgQCCD6YINfZ/htdvh/Th/07x/+givjrxhrUPiDxBPfW6SRxSJEoWQAN8sSqehPdTX2PoK7dFsR6QRj/x0UAXefoaxNY0u9ubgXFnqDW0iqF8mRBJC3OeV659wRW21YfiLSbW6hN1dXF1bx26M7fZ7h4+BychTzXm46n7ShJON7a72NabtJFUaxqGmqv2/SjLgfNNYHzB9dpww+gzW9Z3Ud9apPFkxyDcpIIP5HpXn1rGlvNBdXVprFrZPJGEnl1BmwWIC70DZAJIHfrXo6428V5WU1p1VK70XR7+t7LQ2rRUbW/r8zy/wX/yVTxB9H/8AQ1r1TvXlfgz/AJKp4g/3W/8AQ1r1TvXncI/7nV/6+T/9KZ0Zh/Ej/hj+SFprCnUlfbvY8w+bfFH/ACMmqf8AXzJ/6EazK9g1L4QwalqFzdtqEiNNI0hUIOMnPrVf/hSdv/0Epf8Av2P8a/NK2T4yVSUlDd90YcjPJ6K9Y/4Upb/9BKT/AL9j/Gl/4Upbf9BKX/v2P8ax/sXG/wAn4oXs2fKnx+t4tJ0bQfG3Mdz4R1SLUGmUhT9lf9zcoWwTs8uQsQOpjWubk8Mx/HG8+KVxa332aGSJfC+n3pBZA0A8ydihAO3z5GjYA4YRHnpX2FrX7P8ApniDSL3TL69knsryF7eeIoBuR1KsOvoa57T/ANkPwrpvgFPB0FzeJokZ3qqzOJhJ53n+Z5obfv8AN+fdnOa9Sjl2KhTUXC0l1023/MfKz5z+Ht5aah4i1LwP4p8C6PpGv2tjBqDmxjjnsb2Dc0SSoSgYEMGGx1yueCetct4L+E+k+Nv2f/FWkWmmWNrqd9daxbW13HEsTpILubyfnUbgFZU6dhX1t4K/ZJ8NeBbi4urC/wBRu9RuI1hl1HVLiS8umjVmZY/MlYsEDMx2g4yc1r+G/wBm/R/CemtYabezw2zTzXBVl3fPLI0jnJPdmJ/GrqZfi4tulHqnv236j5ZH5+XniqX4uL4Z+KoeaBPBOm6ZelIZVitVuZ5R/aaEn5sJCm3DccV654BsV8eyfEbxW9jb61BqeqNZaTaahIrWssNgBCmG2NtV7lJ3zhsZBAPf6K0v9jrwZpOieJtJtlkWx8SXFxdanEy7hNJNnzDyeBzwBwO1Lbfse+E7LwHp/hCzub2x0bT4xHaCzmeCaH5WG9ZUYMGO9snPO45zmuipga81yxhbtqtt+/cOVnyp8IdQtfAPjD4vah4ksh4a1JUtdYvdNssSadbWSW7oksLKAWdvKkMhKoSVAC4GTpeHfAGqeKPhHpV+tnYy61rGqx+J7qy1lj5R8yTzVgdhGT8kZROVONmK9y1r9hLQJvC95oWk6zdWsWsXtrLrt9qBkvbvUrWFwTA8zyb/AJlHlgkkKrNwc4rvPF37M+k+NtJ/s691nVLWISCRZdNuZLSZWAI4eNlOME8dOazqZfiefmhHdq/olb8f8g5WfMfh/wCJ8eg+F/iIk3hqy0PUPB8hW4tNJcSW1xI1uk0ZjOyMksJFXBAOeMmuIm8DapoeofCzwjHpOn63KlhqGsXsesXUyWz6ixjaSV/lcud9xMQjA43cEbRX1Fq37EuizaRpGjabrFza6YusW2qaybpTdXGqiBQ0aSSyMWP72O3Yk5+WMqMZrp/G37Kfhz4gWtrFql9fLNZyGW0vLKVra5tmI2sY5Y2DLlSVODyCRTjltenO8I6PfXyt39Q5WfKd18V7u6+E/i6z0vSbfQfFVnrMnhOGLTmJtxqEpRVnjYRg7QJhISVGNrZ9a9f8E+E7PwH4P0Xw7p4b7FpdnFZxtIBvYIoXc2AAWbGScckk119v+xxpek6t4UGl6vJbaJo1xc6hPazRtNPeXkibEmaZnySoeYnduLFl6ba6m6/Zo0W98WWHiOW/vDqljby2sDLIyxiOQqXBQNtJyi8kdvpXNXymvNclONk7vdei/rzFys4Kiup0P9kHwt4dj8NpZXuoKvh/7R9g8yd32+d/rN+W+f23ZxxjoK6//hSdv/0EpP8Av2P8a8+eR4tfDG/3ByM8nor1j/hSlv8A9BKT/v2P8aP+FKW//QSk/wC/Y/xrP+xcb/J+KF7Nnk9e7fCz/kSrH/ek/wDQ2rB/4Urb/wDQSm/74H+Ndt4Z0FfDujw2CStMsZY72GCcsT/WvfyfL8RhaznVjZWsXCLi9TYoopO4r7Q1OL+NP/JHvHP/AGAr7/0neuB/Yu/5N90L/rvdf+j3rvvjT/yR7xz/ANgK+/8ASd64H9i7/k37Q/8Arvdf+j3ry5/75H0f6CGfGj4iaL4T8caLcQeMdF0DXrK3njnhvrKe8Z4JNjFGWJhsG6NXycH5RggFg2h8O4/FXiDVH8UWHi3wtr2nalJCtxJZ6fNlYI+sMZ88hGG5z84JDPzkAAP8MeLNH+G+oeJbPxMJNN1C61i6vPtklrK8d1FJITBiUKQxWPam3Py7MdMVs/DSS11TxT4r1nSdNudO0e+eAK89ubcXdwofzZlRsNggxruIG4oTyOTMY81VSb67a6DPSea+MPG0ZuPHmtRg/NJqEqj/AL+EV9oV8X+L5Vt/H2sSMCVTUZWIXrxIa9YCzq/w/n0mHVCNSsbu501v9JtYHYuq7wobpg8sMgHIzziuq/Zx5+IEvHSyk/8AQkrlbvxVaz6x4uu1jmCaukiQAqMrunST5ueOFPTPOPrXW/s3qf8AhPLhuwsnH/jyUAfTVFFFACV82fG7/k6L4PfS4/rX0nXzZ8bv+Tovg99Lj+tedjv4a9V+aA+k16UtIvSlr0FsAUUUUwCkbpS0UAQ3H+pf6Gvmb/gn/wD8kl1v/sNyf+k8FfTNx/qX+hr5m/4J/wD/ACSXW/8AsNyf+k8FeZU/3uHo/wBBH0/RRRXpjG15z8UtG1HULzRrrT7Vrr7LIzMqkeqEd/8AZNejU3aD714+aZdDNMLLDTk4p21W6s7nRQrPD1FUSvY83Xxd4yVQP+EdX/vv/wCvS/8ACYeMv+hdT/vv/wCvXpO0f3aNo/u14H9gY1Kyx0/uj/kdn1ul/wA+V+P+Z5t/wmHjL/oXl/77P+NH/CXeMz18Orj/AH//AK9ek7R6UyRQFPHarjkeNUk/r0/uX+RLxVK38Ffj/mfGmoZOt/EwkYP9tLken76eufrodR/5DnxN/wCw0P8A0dPXPV+iY5WqJP8Alj+SPm8B/C+b/MKKKK889IKKKKACrOl/8hK0/wCuyf8AoQqtVnS/+Qlaf9dk/wDQhVR+JClsey/s0/8AI2fED/r9T/0OWvoE96+fv2af+Rs+IH/X6n/octfQJ7135h/HfovyR5uX/wAD5v8AMWiiivOPTCkalpGoA47U9kniC4RNRbSbjyULMShWVctjhh2P863NBsorLT1SKc3IZmdpiQS7E5J4465rmp7qLVNYuluvDT3TRxptMkcRcAlupLdOOPxrf8NxyQ6aBJZrpw3vst1AG1dxxkAkZxg18jl8oyxUmo3u3Z2atr2eh21bqCXp2/4c5P43/wDIv2X/AF9r/wCgPXoFj/x7xf7grz/43f8AIvWX/X2v/oD16BY/8e8X+4KwwH/I9xf+GBrV/wB0p+r/AELFFFFfanmhRRRQA3/Cjd2pW6V4B4N8Uaxd/tifELQp9TvJdGtdCsp7fT5JmMEUjbNzKmcAnJyR61jOXJbzYHv24HpzSjpXxloH7RmufDPTfijq17FeeLWj+I8+hWVnc3xUQRM8m1IywIVVCYC8Dntivcfh18XvEGufEfWPBXi3wxb+HdWtdPh1S2a1v/tcdxbyOyZzsXDBlKkY6g9sE5xrwk0uoHrmelLXzhpfxW+Ic37XWs+DZodPPhG20hb37O1woaKLeqi5DCLczknBjLbQGznimab+1P4gvtI0XxkfAwT4c6tqiabBqP8AaI+3oskphjne32bQhkABAkJG4cUfWIAfSP3aTd+VcX8VtM1/WfBN7beHte/4Rm7KM8uoR24mmWIIxZYskBXJ2jec4BYgZwR8vwfFLxnD+w34Pv7HXroeKvEN8mkHW7qZpJ4fNupU8wOSTuCqFBzkA5GCAacqyg7NdLgfae4U6vmr4Rx678Of2mPEPw8m8T6t4n8OXHhyPXLaTXro3NzbyrMkLKHwBhi7kjHZffPX+IfjT4kuviZrXg/wX4UtfEE2gW8Fxqs97qX2QKZgSkcQ8ttzlQTzgdOaI1U1dgez0V8569+05r5vPHVx4X8Fw6xoHgeRotZurvUvs0xaNS04gTyyr+WFfqwzt46ipvEH7SHiO68WWWi+C/Blv4iF14Wi8Tia71P7Ltjd2XyiNjZb5QB6lhnA5pfWKaA+hqK+a/Bn7Vmu+I7z4e3l94GGm+F/Gk5srO//ALSWWZJwpJ3RBANhKvg7s4UkgcCsTT/2xvE9/wCEb3xl/wAK+tx4R03WhpF/eDVx5yZlSMSJH5fzAGRMgkcsMZAJC+sU7XuB9XNSbq8WvP2gpreX4xqmjxyJ4BsYbyFvtJH27zLV58N8v7v7oGeeufauH0342/EfXv2hPC2kWGn6ePDereFrXWn02W7A2xySDzJ/M8kt5i5ZRHnaQoOQTxXt4KwH1EOlLXzHqH7Y9ra+K720gs9DuNHs9c/sOSNteiXVZHEwhaaOz25aMOc53Z2gt2NfTY9auFSNS/K9gFooorYAooooAK+YfCfH7dHin30P/wCMV9PV8v8Ahdgv7dXiZT1bQ+P/ACAf6V5eN3p/4kI+gvF3izTfBXh+81jVZlhtLaN5CNyhpCqltiAkAsQDgZ5rBm+L3hZbPTZ4dUt7qXUJ7a3htbe4jafdM6ovy7v4d2Wx0AJ5xWv8QY7F/BOuNqOmtq9rFZTSPYqpLzARtlFxzuIyBjnmua8G2Or3Gl6PdroPh2wt3iikCwyO8kcZA4DeWMsFrepOUZ8q7DPSVztGeteF/tQ/8e/h3/euP5R17ov3RXhX7UH/AB7+Hf8Aen/lHXaB4LSehruPDkdhpfg9NTlWBria/aB2uLJbobERWCAN93cWOT1OBgjmuV16Szk1i9fTo3ismlZoY34Kr2GKAPtyx4s4B/0zX+VT1DbcWsQ/2B/KpqAGH7prkdUaP/hJH8q/OnXn2ZSxkClJU3NjAJ6qc9P7wrrjXn+qX9lqHiC5ivPDct8YYkCyNbK7/ecdSfu8cfjXz2c1IxpRTaTbVr3/ADWx04dO79DqfD1mlnbzFbn7bJK++Sfj5m6duOABXK/Gz/kWbb/r6X/0Fq6TwnGsdrOItOXTIDKTFCIwhK4HJAPXOa5r41/8ivb/APX0v/oLV42d2/1ercqsuXz7+eup14O/1yF+6O10H/kD2X/XFP8A0EVfrP0H/kC2X/XBP/QRWhX1uD/3al6L8jz6nxsWiiiu0zCiiigBu6l3V4Pb+KNX/wCG0Lrw9/aV1/YX/CFreDTjK3kCf7WV8wJ0DbeM9cV5P4X/AGjNW+GmvftCa3rs2o+JdM0HxDbWtjp0l0cW6SS3ClY92Qg+VeB6CuX6xFb+f4AfaFN9q8Z+H/x61PxB8VJvAnijwjL4S1WbTv7X0/fex3Pn2+7YQ2z7jghuOR8h56ZyNQ+KXjm2/awj8GW+mC68Ktof2ww+fCnHnxK13uK7/k3Mnl7uevpT9tCyl52A9/oz7V80Xf7X1/Doc3jOLwHeS/DiDUjpkms/a1W5JE3lGdYCuDFu+XO7O7ivcvG2n6/rHh2W18Maxb6FqUxUDUprUXPkofvMkZIUv6bsj1Bqo1oyT5egHSZo3elfFfgP4yeL9P8A2Fb3xX/bN1qHiia+exh1K+lMskZlu1hVstn7ofge1ekfDCz8R/DL4+/8ITc+MNa8XaFqfho6yH8RXP2m5guY544mEbgLhGEn3cHkDnrWUcQnay3t+IH0dRXkPjr40atpvxEfwZ4P8K/8JVrNnYLqmoh79LVIYWYqqKWB3Stt4BwuCMsM1zGvftQaouqeKrXw74Ik1iPwfaxXfiNrjUY4Gtd0bO0MYwwkdAj55C/IcE8Z1dWEd2B9C0V893n7VFxrF54csfA/gy88VX2v+Hv7etU+1JbrCok2Mkxb7u1sqSM5bAGc5rK8N/thXmvyeCdQl8BX1h4W8S6kmiJqkt5Gzx3zSeWFEY5aMOHUvkfdPFR9YpXtcD6Zor5j1z9sTUtO03xPrlp8Pby98MeF9Wk0vVtT/tCJCpVlXdHGRuY5dMjjAYcnnHo0fx4sbrUvH8FvYvPb+FdHtdYFwsgAvI54JJlCjHy8R45/vU1iKb2YHqm6lyK+WZP2hfG+vfGT4aW2haR5vh3xJ4ZXWH0t54VLFwGLmQruHlg/dBAarHi79trSfC3iLxBEum2cujeH9S/su9M2rwxajPIGVWktrQ/NLGpY5bIyBkdGwvrFPuB9P0VFFKs0ayIdyMAykdwalrqAKKKKACiiigD5l+Irf8ZtfDVfTS5z/wCQ7qvojWdYtNB0ye+vpkgt4ULMzsFzgE4GT1OOlfO/xE/5Pe+G/wD2Cpv/AEXdV7/4ssdP1Dw/fpqdiNRslhaR7cx7y4Ck4Uf3vTHOa8jD3UqzXf8ARAYNv8VfDc3hXT9ejvIhDexW80dqJY/PHnbdqld33hvGRnsetduv3a8P+HGmapdaF4c1DS/h/wCF9P0iW3t5bZ2vme5ityqlCSYTlwmM5Y89z1r3Fa7aEpSV2B4x+03n+wNF/wCvpv8A0Cvnevof9pw/8SDRR63Tf+gV5p4UsdO0/wAEz65cLbPdNqIsgby1+1RrGIw5AjyOWPGT2XAxkmuoDg6+49IXbpNmD/zxT+Qr4x8VSabL4gvH0iN4dPZg0Ub5yuVG4c9gc49sV9pWC7bG3H/TNf5CgCeqGtGL+ybwzI0kPlPvRPvMuDkD3q/WJ4q1L+y9FuZfsz3Y2MPLVdw6H7wz93jmuPFSjChOT2SZcU3JJGHbWUWq21ok2vfarLckiw/uwz4IZVLDk8gdOuK7QYUEV55BDZSfZ/sXhER3W+MiWa1RI1G4bjkHsM498V6IvSvDydxlCTSV7LVX/XsdGI3/AOG/Q8u8G/8AJVPEH0f/ANDWvVO9eV+Df+Sq+IPo/wD6Gteqd68/hH/c6v8A18qf+lM6Mw/iR/wx/JC0UUV9weYFFFFACbqTdXD/ABv1K70X4M+Pb+xuJbS9tdAv54LiFirxSLbyMrKRyCCAQe2K+a/jH8RvFOk/sI+D/Etl4g1K08Q3EWnmbVIbl1uJCwO7c4OTnvzzWE6qp3v0VwPs0Glrwbx5+0VrXhzxd4t0DQPA1x4jl8M2UGo3139ujt4UgdC7feGd+1WwoznaeldNF8XJPGfwFPj3wdZm+nutNa6trWSVYyjjKyKWYEZjYPnjBKYHWhVoSbt0A9TpK+avCP7SPiXS/g/4C1LxB4am1XxT4na2s9MjguI1GoyPCHM7lVCwr3IxwM8cV6L8Jfi7e+OvEHijwzr2g/8ACO+J/DjQfbLZLkXEEscys0ckT4UkEKc5UYyPWlGtCVkuoHp+6jIr5Z/aD8SeNfDP7RXwdgt/FM1t4Z1rWDbnR7JTCHVDBuMzhsy7jIRtPygDpkmjxw3iP4yfG74heFNP8aeIPB1p4N0m2e1XQ7oQi4up4fN8yb5csgDINmR904IzUOulfTVOwH1Pij0ryf4Z/Fhr79nPSfiB4ibe0WiHUr9oEALmNCz7FzjJ2nAz1IrmLf8AaY1bSfh5feO/FfgiXQ/Cx01NS065i1COeS4EjIsMLpgFJH3hhjKgDk54q/awsm+uoH0BRXg+lftH6npvjSLwt418Kp4b1a/0ufV9LWDUFuluI4kZ2iYhRslCo5PVflOCa5qx/a88QX6+E7pfhbqv9neKozHo7C+h864uAm4gofuxY5EjY4BbGMZn6xT7gfTtFfPcH7U11D8PdT1rUvBd3Brul+I4/DV3odtdJK5uHMeDG+AGB8xcdOaiX9qy60dvH9h4n8JNofiHwtpn9tJpiXyzm7tCcbg6rhWG6MEHu/GcUe3p9wPomk3V5T4w+M0+j+JLTw7p2jtd6nqHhy71q1kaZUUPEF2xHI7lhz0ryn4Z/tUa/o/7N+neOvHel/b7m5uI7Syu0ube3GoySTSLlhhUgVAnLNgYGTjk03Xgna4H1bRXjXwR/aGs/iz4g1/w9Kmmx63o8cM8jaNqaahZ3EcmcNFMoGdpADAgYLCvZK1hNTV0AtFFFaAFFFFAHF/Gr/kj/jn/ALAd9/6TvXAfsX/8m/6F/wBd7r/0e9d/8av+SP8Ajn/sB33/AKTvXn/7GH/Jv+h/9d7r/wBHvXmS/wB8j6MR6XqXjrRNN8TW+h3d3BHdzW01zuklQIgjaJSrZbIY+cpAxyA3pVrR/Fmm65rF9p1jOlzJZxRSSSRMrx/vC4ABBPI2HIPqPWuD+IOl2kvjzSYtN8H6XrPiC7srqZrrU5DDCIVeBXBIRt75MWMjIAbkZIPWeAdP1PT7a4j1DQdH0L5gY49ImMiv6lv3aYP51tGcvaOL2uM65ulfFXjg/wDFaa9/1/z/APoxq+1W6V8aeIrVNQ+IupW8snkxzarLG0p/gBmIJ544612gc3XrX7Nq58aXZ9LNv/QlrL8ZN4fsV17Sfs1vFLayeXY+RZtHJGyOB88m7MgZd2S2eSCK1v2a/wDkcr44/wCXM/8AoQoA+lKKKKAEr5s+N3/J0Xwe+lx/WvpOvmz43f8AJ0Xwe+lx/WvOx38Neq/NAfSa9KWkXpS16C2AKKKKYBSHtS0UAQ3H+pf6Gvmb/gn/AP8AJJdb/wCw3J/6TwV9M3H+pf6Gvmb/AIJ//wDJJdb/AOw3J/6TwV5lT/e4ej/QR9P0UUV6YwpKWigAooooAKZJ91vpT6bJ900CPjLUP+Q58TP+w0P/AEdPXPV6Fqfw58fWPi/xbNZ+EbfWNN1XUJJ1+1XKqCokdkYbJkYZD9D+VQf8ID48/wCiZaT/AOB0n/yXXtYmh7aanGStZdV2R4eFxHsIOMoO930fc4Siu8/4V/47/wCiY6T/AOB0n/yXWfrHh/xR4fhSbVPAfh/TYnbYsl1qjRKzdcAtdjmuVYOcnZSX3o6njoRV3B/czk6K1xe3hwP+Ea8I+n/IdH/yZXSf8ID47YcfDLScf9f0v/yXVSwNSO7S+aFHMKU/hi38mcJVnS/+Qlaf9dk/9CFdl/wr/wAef9Ex0n/wOk/+S6dF4E8fQyJInwz0lXQhlP26Tgj/ALeqSwkv5l96KeNj/JL7mdl+zT/yNnxB/wCvxP8A0OWvf+n9a8S/Z58G+JfC9/4ou/EWnf2dNqEscqASIyscuWxtZsAbh1r2081OPlGVduLutNvQeXxcaCUlbV/mOooorgPRCkalpGoA4XXNWtbXxFNDqGpz2UXkIYkgZgCSWyTtHXgV0nh64trrTY5LS4kuoCTiWQsWPJ9eaw9Xme61ya3fVW0uKKJHUIEBkJ3ZOWB4GB0rV8KXsl9pe+WVbgrLJGJlAAkVWIDcccj0r47ASax803dNu3ffVb7fJHdVS9mn6f1scp8cP+Resv8Ar6X/ANAevQbH/j3i/wBwV598cP8AkXrL/r7X/wBAevQbH/j3i/3BWeA/5HuL/wAMDSr/ALpT9X+hYooor7U80KKKKAEavEfiB+z/AKtrHxOPj/wT42m8D+IrmyGn6g7abHfw3USkbP3bsu1hgc89F4HOfb6KznBTVmB8efGv9mrUvD/wK0vw74ck1LxNr914st9Z1fVgiC5mmff5tztHAALAgc4zyTya9k+FfwV1jwb441rxd4p8ZTeNNevrSHT4Z3sEs1t7aMlggVWYElmJJGOSeOa9forKOHhGXMgPJdU+Cd1N8drX4jaZ4j/s5JNNGlanpT2KzC9hDFgBIWHl87M4U/d7ZNcRov7JepaX/ZGgTfEO+uvhvpWprqVr4XbTo1k3K5kjje6D7mRZCGxt5x2PI+kaQsB3pulBu7QHH/E3wv4h8XeF5NM8M+KF8JahI4337acl8Gi2sGj8t2Uc5HzA5GPevFtF/Y9u1+B9/wDDLX/HUms6UrRzaLc2+lJaSaXMrSOX4kYy7mfkMRgAgEEgj6Y3D1o3D1olThN3YHkHwn+BV74J8ba5418T+KZvGXi7VLeOw+3tYpZRwWqbSI0iRiMllBZs87VwBzuo+LfgDr118TtV8ZeEPH1x4Nk1q3gt9XtY9MiuvtIiyFdHdh5bbTjODjr7V7dkUm4dM0/ZwtygfOPib9k7VLrWvFp8NfEO88NeGvGDiTxBo502O6e5ZgROY52YGLzFLA8HBYnphR3ui/A+28P/ABGTxLZaj5VjD4Wj8MQ6b5GSiJMZBKZN3JwcbdvbOe1epbh60tJUKd7pAeHaD+zX/Yng34WaD/wkXnf8ILqX9ofaPsW37bxKNm3zD5f+t65b7vTnjxD4N/sr+NfFHgrUdI8R+JtR8K+G5/Esl7e+GX0+NzeJG8bo6TbgUViozwwJQHFfcFFQ8PBtPsB87fEL9lbUvFnijxrf6L8QLzwxpHi+xjtdV0uDT45jJJFCYo2WUsCqY27kAyw3jeNw26k/7OWpWvjjwH4p0LxrLo9/4d0WDQb6NtNSeLUbSNgxUBnBiZjvycvjcuMFcn3Wiq9hT7AfO1r+y3qeh+OdR1bQvGFlY6Hfaq+rS6Xd+GbW8mV5H3ypHcu25FLZ2/L8oPfrX0Oo2qBS0taQpxh8IBRRRWoBRRRQAV8v+H/+T6te/wCwL/7LFX1BXy7oreX+3brA679Fx/45Gf6V5eN3p/4kI+ivFd7aad4Z1W71BXewt7SWW4WPO4xqhLAY5zjNeF6Be6PpOuWlvB4E1DTILG7sImdtZytqLhl8hmiDnK5IGBnnj1r034neJtT0HS544vB7+JdGe1lN9Ib63t444wp3KyykZBXPTtXl8moy6xrXhHXNS+HWtaRYXE1hZx3A16NYGUSbrZriFX+fY7ZXcM7mA5JAoxDTmrbryGfRy/dFeE/tQf6vw9/vT/yjr3ZfuivCf2oPueHvrP8A+069MDxXSfEGpaH5n9n3s1p5mN4icgNjpkVTuLiW7mkmmkaWaQlnkc5LE9ya6PwXo+k6v9ujvWuJLtbW4lhjjwqDZEzhmPU8gfL+vY8wv3fwpgfdsI2xIP8AZFSU1RhQPanUAMYcdK8/8W6pb2/iL7Nfa3caTb+Qrx/ZiAWYswbcdpPYY/GvQDXJ6nLc3viBrBNQ/s2NbdZQyIpkkYswOC2eBt9P4q+dzqMpYeKi9br5/ivzOrD253ft/XcveD57W401ntNSm1SLcR51wctn06Cuc+Nn/Is23/X0v/oLV0vhi8luo7xJZkujDOY1nQABxgEdOMjODj0rmvjZ/wAizbf9fS/+gtXjZzJS4drNfy/r8/zOvB/77D1R2eg/8gWy/wCuCf8AoIrQrP0H/kC2X/XBP/QRWhX12D/3al6L8jzqnxsWiiiu0zCk/hpaKAPF/if8DNc8RfESx8eeC/F48IeJodObSriSfT0vYbm2LhwpVmG0hsnPPWvGvjd+znqPgX9mnxvb2Mt9438YeIdXh1TU761sdstw/mDhIY9xCKCTjJ5ZjwDgfZtFcsqEJX8wPEfhv8A9b0D4nzeOvGHjJ/GOrw6b/ZGnf8S9LUQW+8sS+1jvc5PPH3mznI26fiz4P63qfxq0L4gaJ4nj0j7LYf2XqGny6eJ/tdqZllZVcuPLJKgZwSOue1et0VaoxUeUD5c/4Y/19tFl8GH4jyH4ZSar/aLaH/ZS/afL87zjb/aPM+6Xw27b15xXvvjjRte1rw7JZ+Gdfj8L6oWUpqMlgt4EUHlfKZlByOM54rpeOlGRSjThFNLqB8y+DP2P73Qfgr4h+GWr+ODrehX6h7B49JW2ewnEnmeaCJWMnzhDgkY28Hmu1+FfwV17wz44uvGXjPxf/wAJf4iOnjSbSWGwWzit7XzA5GxWIZmZVJJ6Yr2XIoyKUaNOLTXQDxX4gfA3xHqXxMk8b+B/Gq+DdWvtPTTdS87So75Jo0csjqHYbXGcHqCAvTBzymvfsqeJ49W8VXHhP4kSaHaeLrSK216G80mO8e4dYmjeZGLrsZw7EgY5J56Y+lcijIpulBgeQ+B/2e9P+H/jbw5rOk6g66dofhc+GobGaEGSTM6ymdpAQNxKnKhMEsTkdKwdN/ZgfTvh38PvC/8AwkgkPhPxMniI3f2HH2rbcyz+Ts8z5P8AWbd2W+7nHOK99oo9jDawHxL4O/Zw8Y/EzTfiVo154n1Dwh4W1XxhcNfaRPpQZr2FTC6zQSuQV3Y27gGU7AecEH1Lxx+y/res+Ldfv/C/jyTwnoviDSIdI1LTo9NS4JjhjaOMRuzDaNrYPGevPPH0PS1EcPBKzA+eLr9mHWdP1L4Y6r4e8b/2Rq3g3R49Emmk0xZ4723ChWIQuNhIDd2xkenNO+/ZS1Ox8VeKb/w74k0O10/xDqDam8eteF4NRuLKZ8GTyZGdQVYj7rLhR6nJP0nRVewp9gGKoVQAMAcYFPoorpAKKKKACiiigD5i+Ikn/GcPw4XHTSZTn6x3f+FfRusT29ppN5Pdt5dpFC7yuCQVQKSxyPbNfN/xC/5Pm+Hf/YIk/wDRd5XvXjDXJtHswq+Hb7XrWZJBcfZZLZUiQAZ3+dLHwQT0z0OccZ8jDy5ZVm+/6AeC+F9J8H2c1lNY+FPGVjZ232S6VpddkEUUU0h8p2j+0n5SQSVx06ivp5fu188295o19pfhnUR4R8YWWivDZ6dDc/bLYQTW6yA25nC3BLICchschzyQ2D9DL0FbYX7WoHjH7Tn/ACANF/6+m/8AQK8F0vXL/RTKbG7ltvNAEgRuGx0yOhxXvf7TX/Iv6L/19N/6BXivhldFlmhg1Gyv765uJhCq2sqxhFbaAwBBLNkt8vA6c88eiBj319caldS3V1M9xcSHc8khyzH3NfcVl/x6Qf8AXNf5V8UeJ9JTQ/EGp6bHN58drcSQrJ3YKxHPvxzX2vY/8edv/wBc1/kKAJ89Kz9ame30e8miYLLHC7qzdAQpIJrQqjq1w9npd3cIu+SKJnVfUgEgVzYj+FPW2jKj8SPO9I1jSbie0ZvFuoNPIynyWYAFiR8pGzgZ4xmvUB92uDa8utOtbXUBrKXzTSxI1v5aBJNzBSExyCM56npXdr92vncjvGnKMt9/k9urOvEWumv6/BHl3gzj4ra//uv/AOhrXqi15X4M/wCSq69/uyf+hrXqgri4S/3Or/18n/6UzfMP4sf8MfyClpKWvuDywooooAy/EGiWfifQtS0fUYlnsNQtpLS4iPR45FKOv4gkV84Wv7IviS+0XQ/B3iP4j/258N9HuIpodE/saKKeZIiTHFJOHJ2jIBOORnheMfUdFYzpRn8QHyj4k+EPjbxz8dPit/YPiS68GWGoaZptlLcz6ULq11CFopllVdxUb04+ZWyN5B+9ke7eDfhfpngX4V2XgXTXZNOtdPaxExA3sWU75SBxuZmZj0GSa7ejaKmFGMLvuB812/7LXipfh74Y0SX4kf8AE68JX0Vz4f1WLR0VbWGNPLEMkXmfvdy8EsfwPOe/+EXwf1HwHr/inxN4i8Qr4m8U+Ing+1XUVmLWGKKFSsUSIGY4G5sknn5eOOfVqTIojRhF3QHz98aP2c/FfxX+Inh/xRafEWHQYvD032rSLH+wEufs8pCb2ZzMu/JjU4YYHSneOP2efFOreMNQ8SeFfH0fhfU9c0yLTddkXSEn+1mNCqzR5kBjfacYB6BeeOff9w9aNw9aTowlfzA4K1+EmkW3wdHw4LzHRjpB0gyqR5uwxlC4JBAbnIyDg4615Va/st+J9a+HN74H8YfEl9d8PDS107TLe10iO1Nq6PG0M7MJGMjIIlAUnoW554+ktw9aNw9abpwe/a3yA+ffDv7N3iG88YP4o8e+N4/F2s2emT6VpDQ6SlnHZrKjI8rKrne5ViO2AzdcjG/pfwAbTrH4R251wP8A8ICCC32TH27NsYf7/wC767v4vT3r2PiloVGHYD5c+L/wR1TSfCesw6Xf3t7c+JviBYa0ZdPtD5unI0kKMwwWz5Yj37yAB3HFa2n/ALKl7qy/EC/8Y+MW8Q+JfFWmf2Kuq2+nJai0tRjAEYYhiWVC3I+4AMck/RtFR9XhzXA+fPAP7OfinR/GmmeJPF3xBPiq4sNGn0OKBNLS1CwvtwwYOct8vJIOcj05xNN/ZD1eP4QzfD2/8di606xvob7QLhdIjzYNHI8h81S588MZMFSQOPQ4r6epOar6vTtawHmHwg+F+seArrVLnWdS0K+a6jhjhj0Tw/Fpgh2b97MyuzSF9yHBwFKnA549QooraMVBWQBRRRVgFFFFAHF/Gr/kj/jn/sB33/pO9cB+xf8A8m/6H/13uv8A0e9d/wDGr/kj/jn/ALAd9/6TvXn/AOxfn/hn3Q8f897r/wBHvXly/wB8j6MDR+OFr4d1HUtGj1XR9Z1nUbO2u7+FdHvWtWt4UCLLIzCVOu5VHUnJ7ZrU+Dtlp2mvq9nZabrWlTqIZpIta1FrxnR1JR0JlfA4YdRyp4rM8ReLlv8AxNpsGoeAPEb6nc2l1axW8c9ifNtnEfnb8XPCZWP5jjBIGcnB0/hD9ijvNct49O17T9RtTDbzjxBcRzTGNVPl7Ckj5Tlue5Lck5pRd690wPTm+6a+KfG3/I5a/wD9hC4/9GNX2t/DXxZ4y2f8Jxrok3CP+0Z923rjzWzjPevVAgvPFWr6hZNaXOoTz27BVZHbO4KcgE9TgjvXpX7NA/4qzUT/ANOn/swrkda8P6Z/wij6jBZX2j3MM0caJfy7jeKwbLKNowRgHjjHvXZfszqD4l1U+lqP/QqAPo2iiigBK+bPjd/ydF8Hvpcf1r6Tr5s+N3/J0Xwe+lx/WvOx38Neq/NAfSa9KWkXpS16C2AKKKKYBSN0paRulAEVx/qX+hr5m/4J/wD/ACSXW/8AsNyf+k8FfTNx/qX+hr5m/wCCf/8AySXW/wDsNyf+k8FeZU/3uHo/0EfT9FFFemMKKKKACiiigApG6UtNb5VoAq3l5Dp9rLc3EiwwQoZJJHOFVQMkk+gFcP8A8L68A/8AQx2//fuT/wCJrxn9oj4wLr2pjwnpF/HFpiuqX94pLKzbuV+UElV6nb1Ix2rj9P1Hw3aXNpoi+JrEaFahbv7dJoTs88+7/VsvLMuACdxweBjiveo5W5UlUqJ3fRdvuevkfPVs0UajhTtZaXfc+lv+F9eAf+hjt/8Av3J/8TXlP7QXjnw38RPDen2Wja9ZSzw3fnOJd6ALsYcZX1IrgI9atNa0zUntdWt5Na1WVYpLGHQyXjgDbQ6soIXCEsQmTyRk8V0cVslv4wtpEu8WMOmmBbo+EpTGG3rhPK25LYBO/wBsd62p4WGEqKpqpL9Pkc1TF1MTTcHaz7f8OeSweG0S4jZtY0zarAn983/xNfZafHrwAqgf8JHb5/65yf8AxNfOdjHqOneD7KS2M8OsabetPb2i+H5A8oMhJJmA5Uq5O1uwx6VsalfNaXmp2lxr9xb+H9S/024vv+EenjFvdAgAqpAKE4UhlPUdB36cZbGyXO72vt/wxz4SbwafKt7b/wDDnuv/AAvzwCB/yMVv/wB+5P8A4mtfwz8TvDHjC/ez0jV4b25VDIYkVgdoOCeQPUV8uzfEoTW9/qUviqGbU2Q2U1m+kHy9Rtw2BIx+7u25I3AEZIyBzXGahcWXgnxFp+q+FPEJv5oz5okW1kt2hbupDcFSCRwTkZBrGGTqpeOql07X+46ZZvKNpWTXXv8AmfoBgelCjiuH+FnxKsfiZ4djvrY+XdR4jubYnmKTH6g9Qf65A7mvm6lOVKbhNWaPpKdSNWCnB3TFoooqDUTtVXUJntrSaSNd7ojMq+pA4FWqbJ93msppyi0nYa3Oa06Gy8RaHaT6lFb30hjDN5kasFYjkYxx6Va8LXX2nTW2+WUjmkjjMYAUqrkDAHsKr3Hg3RL65eQ24WXId1jkZAcnqVUjOcd+tbNjHbwwLFahFij+QLHjAxxjivDwtCsqynUUVZNXTu35vTQ6JyjytK/+Rwfxw/5F6y/6+1/9AevQbH/j3i/3BXn3xw/5F6y/6+1/9AevQbH/AI94v9wV5eA/5HmL/wAMDpq/7pT9X+hYooor7U80KKKKACiiigAooooARulfG/7TzaR4b+LieKtQv9I8WyWsFrAvgy71Ca21K3PmqwmsUjceYzZBIK9jz1B+yaz7jQ9PvLuK8nsbaa7jxsnkhVnXHoxGRWNSHtI2A+Hfipa2/jD4yfEe28Ua7oHhjU7cWg8PXniDVZ7OWziNurLJaqrBHIkJZhz82QfSui8DeBrHx9+2h4zj1+8vNUh0XTtG1S1WO8lihkuo7e32TlVYbiCXODx8xyDX19feH9N1SaOa9061u5o+EkngV2XvwSOOamj021hu5LqO3hS5lULJMqAO4HQFupArljh9byd9bisfEPw7lv8AWPHnhL4HXE11PF4J8S32pXkzyyb2srcB7EuyhVKs0+COfmiXIAYZ5j4Q6PeeMtc8Oa7qPjLRfD3xQh8TNNqI1bUbiPV7nEjRtaGz3qojZdoCqoACleBuFfoHHpNnDfSXsdpAl7Iux7hY1EjLxwWxkjgflUbeH9MbUBftp1q1+OlyYV8wcY+9jPSl9Wel5f10GfN37Mvw70zVviZ8VPGd3JeXOrWHjTVbGyWS6kEFshK+YVjDbSWDAEkH7i+le3658WvCvhvxgfDGo6n9m1saZJrBtzbykC0QsGk3hSnGx/lzu46cjPU2tjb2LTG3gjg86QyyeWgXe56scdSfU0kmm2s10Lp7eF7gIYxM0YLhT1XPXHtXTCDpxstwOIs/jv4H1CPwe9vrfmr4vaVdEK2k/wDpZjID/wAHyYyPv7favQ6z49D0+FbYR2Nsn2TP2fbCo8nPXZx8ufar5rSN+rAWiiitACiiigAooooAKKKKACvlzSf+T79T/wCwN/7TSvqOvljT2K/t5XwHRtHOf+/S15eN3p/4kI+j/FKadN4b1VNXKLpTW0gvGkOFEO07yfbbmvnbw9rkuqa5oWm3UfxQ1bw7Be2zWSXOgRW9p8kimCWWdFWRolIVzu67QWBxivoLxoto3hHW/t00MFj9im8+W4hMsaR7DuLICCwAzlQQSOK8B+H/AMYLCbVtA0Oy+MVjq4M0NtHZL4XmSSddyqI/MLfKSONxHHU1WI/iRTGfTi/dFeE/tQfc8PfWf/2Svdl+6K8I/ag/5l7/ALb/APslekB5d4H1DS9JuLy41C7mgkktZ7aNI7fzP9ZGU3Z3DpnpXO3kcUc0qQStPCpISRk2Fh64ycVFRQB93r90UtIv3RS0ARSNsjYmub0uO08WaJa3Op20E8rAttZB+7OTxz0I6V0pHynvXO3ngzRr66eZ4HWRuX8qZ4wTzyQCB615GNp1ZSi4JSVmmm7J7WfXY3pyir3bT7on8MtGqXltAkUcFvOYoxCoVduAccdxkj8K5n42f8ixb/8AX0v/AKC1dtptjbadarBaRrFCnRV/OuJ+Nn/Is23/AF9L/wCgtXz+fU5UuH60ZO7Uem2+3yO3BSUsZBrujtNB/wCQPZ/9cU/9BFaNZ2g/8gez/wCuKf8AoIrRr6rB/wC7UvRfkefU+NhRRRXaZhRRSZFAC0UmRRkUALRSZFLQB8i/thQ6fYeK7HxFrOo6b4g0fR9PWafwbca7Jpl2GM3F3bGN1aSQgFQrHHyYXLHB82+L1/q/xI+MXiizvtY0vRLbTtJsLnw6/ijxHc6QdP8ANtxI1xD5QxLKr4LlyccDkD5fu7UfDelatcJPfabZ3kyDCyXECuyjOeCRxRqPhvSdakSS/wBNs751G1WuIEkKj0BINcE8O5SbvuB8Z+B9D1D4lftSJ4e8T+JrzU7Oz8IaVrMzaTfn7LfXcAt9ku4D54y0zyYGAx2kjjFZGmrr3/CeWP7Pj6neMLPxpJqkt0L6UyHR1iF1HGzAD7wfvwJAB6GvueDRrC1vPtUFnbxXPliLzo4lV9gxhMgZ2jA49hT/AOy7NdQN8LWEXhTyzcCMeYVznbu64yBxR9W8/wDhgPzr8Kx+MPG/ja88Qf8ACUeHdA8e2viwxCfxB4iu7S/WMSAJYpZY8toXzgActllz2HvfwV8AReLvj18TPE+qavqkz+HvEssWmaet0wtYWeFPMkKdyyhVx0AX8vo+Twvo89+L6XSrGS+DBxcvboZAw6HdjORgc+1XLXT7azkmkggjheZt8rRoFMjdMtjqfenDD8rTbvYDm9a+KXhbw7400zwnqOrx2viDUraW7tbJkcl4Y1ZncsF2qAEY/MR904rFtP2gvAN5pvhW/h8Qxva+KL5tO0iQ20w+1XCyeWyAFMr84xl8A8YPIru5dJsbi+ivJbO3ku4lKR3DRqZEU9QG6gcnj3qFfDelLHaoum2YS1kMtuohXELk5LJx8pzzkd66rSvuBq0UUmRWgC0UmRRkUALRSZFGRQAtFFFABRRRQB8uePmLft0/D1ey6O5H/fu8r6V1aG1uNMu4b3abOSJkn8w4XyyCGyewxmvmnx9/yfZ8P/8AsDP/AOgXtfSmtJDJpN6lz5QgaFxJ567o9u053DIyMZyM9K8rD/FV9f0EjwLwzHaahYaHpdl4y8Xar4QhaFLW1TwrKI5oUK+UrXQthlF2r84IyM5OK+jF+6K+cvBHxQsdEt9D8P2vxS8IXlpAYrS3g/syYStGCFSJW+0YyFwoJBPAJyeT9GrWuF2Yzxj9pr/kX9F/6+m/9ArynwHNoenWt1e3Wr/2brQby7V2tnmWJSOZBt/i5IHpjPpj1L9p7/kB6J/18v8A+gV8916AFrVIbe31CeO1u/t9uD8tx5Zj38ZJ2nkc5H4V9vWX/HpB/wBc1/lXwseAa+6bL/j0g/65r/KgCY1iaxqktlqul2qqqw3UjrJIw4ACEgD3J/ka26z9U0u11S1aK7RZIs554wR3BHQ+9cWKhUnSapOz0frbp8zSDSfvbGDrun6doKxX9nY2ou/tMY+WIbm3uFbHocMTmurU/KawLHwbo+m3CXMUTNKhyjTTPJtPTI3E4PvW+MlTXDgaM6bqSnFRv0TuvXbqXUknZJt+bPL/AAb/AMlW17/cf/0Na9TryzwZ/wAlW17/AHH/APQ1r1OvC4S/3Or/ANfJ/wDpTO3MP4sf8MfyFpaSlr7g8sKKKTIoAWikyKMigBaKTIoyKAMnxNIYvD+qSLqK6OVtZWGosFItcIf3pDfKQv3ueOOa+DPDviK5+G/g/wCKOieHbhdR8cReHxqUnjDw9r0+owahG86IZnjZ2WG4AkdgVAIBYg4wT+gskaTRsjhXVhhlYZBB7GqGn+HtK0lZksdOtLRZgBKtvAqBwM4DYHPU9fU1y1aTqNNOwHwN4X0fUPC/g/xtqHh/xX4aj0abwXdyz6Xonie61G7uJxtxevHKFMT5+ViAoBbGATx0epfD6f4d/s6eA/i7pGraxd6/ZzaR4i1drq/lf7VC6RpJDhekYV0THQRqfx+0Lfwhodn5wt9HsYPOQxy+XbIu9D1VsDkHA49qvf2da/YPsX2eH7H5flfZ9g8vZjG3b0xjjFYrDO2rA/P7xlr3ibWPh1eePItSlOj+PvG8VrMt5fy29nDpELPFFHLIoDQRu2/ew/gKHgitDVNN8R+Bf2efiAtj4q0M6WuuaU+k2/hfW5dTGkubiPzE82UbgD+7YKxPVj3r7sfRbCTTvsDWVu1hjaLVolMWByBtxjFQw+GNIt7N7OLS7KKzdxI1ulugjZhjBK4wTwOfYUvqz3cgOc+Gvw70f4PeD5dP0+6vJLIO97PcajcGeQyMi+Y7MfUqWPuxxgYAg0X45+CPEVv4Ym07XY7iLxPNcW+knyJV+1PCXEoG5BtwUblsA44zkZ71o1dCjAFSMFT0x6Vn2+gaZax20cVhaxLaszQKkKgRE53FeOCcnOPWuzlaSUQMzwX8RPD/AMQodTm8PaiupRabfSabdssboIriMAunzKM43LyMjnrXT1SsNNtNNWUWlrDbLK5lk8mMIHc9WOOpPrVzIq1fqAtFJkUZFUAtFJkUZFAC0UUUAFFFFAHF/Gr/AJI/45/7Ad9/6TvXAfsX/wDJv+h/9d7r/wBHvXffGrj4O+Oj/wBQK+/9J3rgP2L/APk37Qv+u91/6PevMn/vkfRgdB8Wm06x13w/fJr2paD4k8ueCz/svTW1CW4hJjaVHhWNyVBRDu4we/NW/hPZkPquoXWra3repz+Wk11rOkNpuEXcUSOMxRjaNzZIzyeazfjJq9n4Z1/w3rD+L9I8JX8MdxCj6pavOLqJvLLx4WRPlDLG3rkLggbg218KfGy+M7e/kXxRoviYW7qu/R7R7cRZB4ffI+SccYx0oj/H1/r8QPQPWvi7xesbeO9aEzMkJ1KcOyDLBfNbJA9cV9ot0r4q8bf8jlr4/wCohcf+jGr0wOh1LXNPs/Bt7pY1ufxFLd+S1us0LqLEq2WILk4Yj5cJxgnmuq/ZlUf8JFrB7i2X/wBCrxqvZv2ZP+Ri1j/r2X/0KgD6KooooASvmz43f8nRfB76XH9a+k6+bPjd/wAnRfB76XH9a87Hfw16r80B9Jr0paRelLXoLYAooopgFFFIe1AEVx/qX+hr5m/4J/8A/JJdb/7Dcn/pPBX0zcf6l/oa+Zv+Cf8A/wAkl1v/ALDcn/pPBXmVP97h6P8AQR9P0UUV6YwooooAKKKKAE9KxPFmk3evaDd2FnfHTZrhPL+0qm5kU9cDPXHftW3SfpQpOLTXQmUVJOL6nzgf2PLdsk+JJifU24/xpf8Ahjq1/wChjm/8Bx/jX0btOfal216/9rYzpP8ABHlf2VhP5fxPnzRf2V5fD+oJe6b4uurO7QFRNDAAwBGDg5rpP+FO+Lf+ik6r/wB8j/GvXx09KSuepj69R802m/NL/I2hl9CmrQTS9WeRf8Kc8W/9FJ1b/v2P8ap6p8CPEOtWM1lf+P8AUry0lGJIZogyt35GfXH5V7X1pFqFjKsXdW+5f5FPBUmrO/3s+bx+x1b/APQxy/8AgOP8aX/hjm2/6GKb/vwP8a+j8e1GPauv+1sZ/wA/PyOf+ysJ/J+J4z8OP2f7j4b+Ik1Oy8RSyxsNk9s0ACzL6HnqDyDXsw6UppOvWvOrV6mIlz1HdnoUaMMPHkpqyHUUUVibhTW+7TqRulAHnepWsOk6xP5mr6s8siKStrG0hUZbG4hTxycD611HhaOCPSkNv9oKMzMWulKyMxYkkgjPWsTxFMdK1x7mPXLLTGuIkVormIMW2k4b7w9cV0Hh+6e70uKV7yG/Zs/v7dNqNyegyf518dl8Ywxs6drNXts9335n+SO+rrTUu9v62OP+N/8AyL9l/wBfa/8AoD16BY/8e8X+4K8++N//ACLtj/19L/6A9eg2f/HrFz/CP5VngP8Ake4v/DAur/ulP1f6Fiim/jS5FfaHmnLfEDxJdeFtHiu7RI5JGnEZWUEjBVj2I9K8/wD+Fz61/wA+tl/3y/8A8VXVfGU/8Uzb4/5+l/8AQHrxmvg84x1fD4nkpTaVkZSk09Dvf+Fzaz/z7Wf/AHy3/wAVR/wubWf+faz/AO+W/wDiq4KivC/tTF/zsnmkd7/wubWf+faz/wC+W/8AiqP+Fzaz/wA+1n/3y3/xVcFRR/amL/5+Mn2jO9/4XNrP/PtZ/wDfLf8AxVH/AAubWf8An2s/++W/+Krys+LNKXxYvhk3ONbNkdRFqY2GbcSCMuGxtOGIBGc8jjFZ2sfE3w14ffWV1DU0tzo4hN7mNz5Zm/1SjC/OzdlXJ5HHIrWOYY6TspsfNI9l/wCFzaz/AM+1n/3y3/xVH/C5tZ/59rP/AL5b/wCKrwC6+Pngmx0O31e41G8isZpZIVZtKu/MV0A3B4/K3pjI+8AD2zUfh79oXwD4oaz/ALO11nS8mitreSaxuIY5ZJM+WqvJGqndjjB549RWn1vMbXuw5pH0H/wubWf+faz/AO+W/wDiqP8Ahc2s/wDPtZ/98t/8VXkjeOtDj8bR+EWv418QyWB1NLFlbc1uHKFwcbfvAjGc8E4xV3S/EWn6zfapaWc/nT6bOLa6XYwEchRZAuSME7XU8ZAzjrxWTzDHxV3JhzSPTv8Ahc2s/wDPtZ/98t/8VR/wubWf+faz/wC+W/8Aiq4Kis/7Uxf/AD8Y+aR3v/C5tZ/59rP/AL5b/wCKo/4XNrP/AD7Wf/fLf/FV5f4m8RWXhHw7qWt6i/l2On28lzMwxnailjjJHPHHvUuh6k2taLp+oPaTWD3dvHO1rc482AsoYo+CRuXODgkZBq/7RxvLzc7sLmkel/8AC5ta/wCfaz/75b/4qj/hc2tf8+1n/wB8t/8AFVwVFT/auL/nYuaR3v8AwubWf+faz/75b/4qj/hc2s/8+1n/AN8t/wDFVwVFH9qYv+dlc0jvf+Fy6z/z7Wf/AHy3/wAVWl4Z+KWqa1rtlZTwWqxTSbSyqwP4ZY15hW94G/5G/Sv+uw/ka6MLmWKnXhGU3ZtfmNSdz6GDU6mr0p1fp6Ngr5XsP+T873P/AEByP/IS19T18r2v/J+s2B/zCT/6JrzcbvT9UI+gvGHjHTfDVjNFNrOkabqckLvaR6tdrAjuB8pbJzt3YyQDXj8PirxJ421jRLHV/F3w3t7SPUbe5/4kuoST3kjJIGEcSsQMv9w98ORg5wfV/iF8P9L8caJfxXGm6bcao1rLBZ3t9ZR3DWzsp2sNwPAbBx7V5F4d8JyXB8N2WkfDOx8O6rpd7bC+12K4sisSxlTMoaJjJI0ibl2so++CcEZDr83Ok1oM+jF+6K8H/ag/5l8f9dv/AGSveF+6MdK8G/afP7zQB7TH/wBAr0wPCaKKKAPu9fuilpF+6KWgBjfdrgdStBp2vTySa3fI80akRW8YkcKGfqAhwozx+Nd83T0Nch4gcaVrK3y6rZ6eZohCyXS58zBJBHzDGMtXzmdR5qEZ9muu3nuvzOrDv3mu5peFIYo7OZ4prqcySFnkukKOzYx0IHYDtXN/Gz/kWbb/AK+l/wDQWrq/DuoDUbNpReW94M48y2GF+nU1ynxs/wCRZtv+vpf/AEFq8nOuX/V6ty7cv9dWdWDv9dhfujs9B/5Atl/1wT/0EVoVn6F/yCLPn/lin/oIq/uHrX1mD/3al6L8jz6nxsWuZ8e+I7nwvoqXdqkbyNMseJQSMEH0I9K6XcPWuE+MRH/CKx4P/Lyn8mqcdUlTw85xdmkzJ7HKf8Ll1r/n2s/++H/+KpP+Fzaz/wA+1l/3w/8A8VXBUV+a/wBrYz+dnPzSO9/4XNrP/PtZf98P/wDFUf8AC5tZ/wCfay/74f8A+KrgqKP7Wxn87Dmkd7/wubWf+fay/wC+H/8AiqP+Fzaz/wA+1l/3w/8A8VXBVnt4h01fECaGb2Eaw1sbxbIuPNMIYIZAvXaGIGfUiqWaY2W02Pmkem/8Ll1n/n2sv++H/wDiqP8Ahcus/wDPtZf98P8A/FV5LrXjzw94dku49T1i0sWtEiluPPkC+UsrlIy3uzKQB1OKo2/xV8KXWj/2omswfYfO+zmVwylZNobYykAg7SGwR0IPetFj8wlqpMfNI9p/4XNrP/PrY/8AfD//ABVJ/wALl1n/AJ9rL/vh/wD4qvF9J+KnhHXLeO4sPEFldW8jxRpNHJlGaU4jAbodx4H4etbLeJNLj8RRaC19Ausy2rXiWJcea0KsFaQD+6GYDPqRRLMMwi7OTFzSPT/+Fzaz/wA+1l/3w/8A8VS/8Lm1n/n2sv8Avh//AIqvMtP16x1a81C1s7uK4uNPlWC7jjbJhkKK4VvQ7WU49GFX6xeaY2Ls5sfNLud7/wALm1n/AJ9rL/vh/wD4qj/hc2s/8+1l/wB8P/8AFVwVFH9rYz+dk80jvf8Ahcus/wDPtZf98P8A/FUf8Ll1n/n2sv8Avh//AIqvJ/B/jCx8caOdU05J1szPNAjToFMnlyNGXXk/KShKnuMHAzW3TlmeNg7Sm7hzSO9/4XNrP/PtZf8AfD//ABVH/C5tZ/59rL/vh/8A4quCopf2tjP52HNI73/hc2s/8+1l/wB8P/8AFUf8Lm1n/n2sv++H/wDiq4Kij+1sZ/Ow5pdz0rRPitqupazZWktvaLHPMkbMqMCASAcfNXrS5xzXzj4V/wCRm0n/AK+4v/QhX0ctfZZJiauJpSlVldpm0G2tR1FFFfTlny34+/5Pt+H/AP2Bn/8AQL2vofxB4q0zw3Ap1DU9P06SVWMC6hdJAspAHALHoMjOAcZFfPPj7/k+z4ff9gZ//QL2ve/GngPR/Gtiyano+l6ldQxSLaTajYx3It2YD5lDg45Ckgddorx8Pe9Xl3v+gkea614y1Dxmtlpb6l4E0+N7y3kNzb+Imup1CyBv3SeTH+8OAB83fvXuC/dr5j8O/Du3stA0Hw/B8IhZeKrF7X7R4heCz+zh43VpJxOHMj5wxCbc8hcADj6cT7orfC3d2xnin7Trf8SnRB/03kP/AI6K+fK+gP2nj/xL9CH/AE1k/kK+f69EBGr7psf+PO3/AOua/wAhXwvX3RY/8edv/wBc1/kKAJmrF8U2D6ho11ELtrIeWxMqkYxg8HI6VtHrVTVLZbzTbmBiqrJGyEt0GRjmuTFQ56M42vdPyLg7STOFtY7S++zQzatqt5BuRgn2ciN8EFeQnTIB616H/CcelcPp2uNbzQ2reIdKmZWEZUJh25xj7/Wu4H3TXg5Io+zlbfr/AJXuzpxHxL+v0R5d4N/5Ktr3+4//AKGteqdzXlXgv/kqmv8A+7J/6Gteqbh61wcJf7pV/wCvk/8A0pm+YfxI/wCFfkOpKTcPWk49a+3PMPMPFnxM1TQdeurG3gtWiiIAaRGJ5GezCsj/AIXNrP8Az7WX/fD/APxVZHxI/wCRy1D6r/6CK5mvzLF5niqeIlGM3ZNmDlK53v8AwubWf+fay/74f/4qj/hc2s/8+1l/3w//AMVXBUVyf2tjP52TzSO9/wCFzaz/AM+1l/3w/wD8VR/wubWf+fay/wC+H/8Aiq4KmXFxHawSTSsEijUu7HoFAyTT/tXGfzsOaR6D/wALm1n/AJ9bL/vh/wD4qk/4XNrP/PtZf98P/wDFV5Yvi7RW8L/8JL/adv8A2D9l+3f2hv8A3Pkbd/mbv7u3nNZNx8V/CVrq1tpkmu2ov7jywsCksQZADGGwPk3AjG7GcjFarMMwltJ6D5pdz2n/AIXNrP8Az62X/fD/APxVL/wubWf+fWx/74f/AOKrxHUPjB4M0nVDpt54isre/wB7oLeRyHYofnwMc4yM46Zra0rxXo+uLemw1G3ujYlRcqj8w7o1kXeO2UZWHsaJY/MUuZyaXoPml3PU/wDhc2s/8+1l/wB8P/8AFUf8Ll1n/n2sv++H/wDiq8lj8deH5PC8HiRdXtG0O4EbRagJAYnDsFTBHXczAD3IrdqJZljo/FJi5pHe/wDC5tZ/59rL/vh//iqP+Fzaz/z7WX/fD/8AxVcFRUf2tjP52Lmkd7/wubWf+fay/wC+H/8AiqP+Fy6z/wA+1l/3w/8A8VXk3irxda+ExpQuILi6m1K/i0+3gtQhcu+Tu+Zl+VVVmbGThTgGtyreZY1JSc3ZhzSO9/4XLrP/AD7WX/fD/wDxVH/C5tZ/59rL/vh//iq4Kio/tbGfzsOaR3v/AAubWf8An2sv++H/APiqP+Fzaz/z7WX/AHw//wAVXBUUf2tjP52HNI73/hcutf8APtY/98P/APFV3vw+8TXXirSZ7q7SKOSOcxAQggY2qe5PrXgtex/Bf/kXL3/r8b/0BK9vJ8diMRiVCrJtWZcJNvU9Dooor742OJ+Nn/JG/Hf/AGAb7/0neuB/Yv8A+TfdC/673X/o967742f8kb8d/wDYBvv/AEneuB/Yv/5N90IH/ntdf+j3rzJf75H0YHXeJvipY2zQjQ9Y8J6gTu84ahr62uzpjG2OTd364xjv2T4XXFxq2q+ItXudQ0GZ7ySECz8PXpuootiEeZI5VcyNwM7R8saDnFcf8QvhH4c0PxNoet2Xwy0vXtFtYbmO80/TbG1jmEjhPKm8t9qzABZF2k8bwwBI46T4OaCNN1DxDfWXg4eCNHvmga3010hjlkZUIeVo4iVjByqhM/wFuCxyo8zre8B6k3Svirxt/wAjnr//AGELj/0Y1fav8NfFXjb/AJHPX/8AsIXH/oxq9QDFr2f9mT/kYNY/69l/9CrxivZ/2Y/+Q/rP/Xsn/oVAH0TRRRQAlfNnxu/5Oi+D30uP619J182fG7/k6L4PfS4/rXnY7+GvVfmgPpNelLSL0pa9BbAFFFFMAoopG6UARXH+pf6Gvmb/AIJ//wDJJdb/AOw3J/6TwV9M3H+pf6Gvmb/gn/8A8kl1v/sNyf8ApPBXmVP97h6P9BH0/RRRXpjCiiigAooooA53xt400j4e+H5tb1u5Npp0LIjyLGznczBVAVQSSSQKWbxposPg0eKXv4hoBsxqAvskIYCm8P64KkH8a5D9oHD+DtIB7+ItI/8AS6GvKtHnltddtPgXaRXCW1hrEl7JJuyItCj2XES7t+7BllitwTnKpJnGBW8aalFP+rHNKo4ya/q59CeCfGmkfELwvYeItBvBfaTfKzwXCqVDgMVPBGRypH4VZ1DXodN1LTbKWK6ea/kdImhgeRFKoWJkYDCDA4LYBOB1r5L+EOu24+CHws8Pql7LqF5HqtygXxDPodmsUd1JveW4h+dmBZQsahvvMxAAzXU/Bnxt4h17wr8HptS1W7luLjVdXs7rN08n2iOA3KRCRjzLgRp8zckjPU0ey3a2Eq2yPqDcO1UrHWLLUri9gtrmOaazlEFwinmJyquFPvtZT+NeCeFdJv7fw/4X8VSeJfEF1qlz4hMEqz6pM9u1u1xJF5JgLeWVC4IO3dkA5rMs1tvAP/C9Lvw5quoXPinTFlltbG61i5vHx9ht3EhhkkfcQ2AHKkgfKDjij2W6v/VyvavTT+rH07uHrRkV87/Cm31tdWsr+LW7STTZdGma5gXxlda1NdS4QpMsc0SiIqd4JQgfMBjgYyvB8uqeGrP4IawfEWuanqHiSX7Lqp1HU5p4rhHspZs+SzeWjK0S4ZVBxnJOc1Ps/MPa+R9Obh60ZHrXyRY/EifUPH/gHXtAur2203XvEk1nJFf+J7m5nubcx3AbzNNceXAodF2lTlcINvzHGpeQ6rY+C9S8b/8ACT+IH1iz8dS2lvE2qTfZFtDrrWpt2g3eW6eW7AbgSPlCkBVAr2T7i9t2R9RluetHHavnbwHrVn4q8d+M7rxX4vv9M1zSvFjabpulLq8tlEtshi+zp9mDhJhN5nLMrFt+ARgYwfC994s8Ua0mqW2u6fbajF4lkhnkvPFt0h+zpdMjW39m+T5IJiUheck4bd3pez8yvarTQ+qaKbzTqxNxKhuLiO0geaZ1jiQbmdjgAepNTUyWNZEKuAyngqRkGolez5dwOD1a80a+nvJo9Z04SP5DJ5kysFaN9wB56E4FdB4RVF0kMs8NwHkkk3WxBjGWJwD7ZrOvNNkstYuJ4NNgu4ZYlUBmVDGVz2I6HPWtTwvYzWOmbJ0jSRpHkEcbZWMMxIUHHavjsBCf19ucUnreyfff5nfUkvZ6Pscn8cP+Rcsv+vtf/QHqC3j+IPlp5ctmExxwP8KsfG//AJF+y/6+1/8AQHrvrPi2i/3BXiSyz+0c9xP72ULRj8Ltf1O1V/YYSHuJ3b3V+x575PxE/wCetl+n+FJ5PxE/562f6f4V6X+NH417P+rC/wCgqr/4Ec/19/8APuP3HiXjePxUukxHW5LdrTzl2iMDO7a2Og9M1xFezfGT/kWLf/r7X/0F68Zr5fMMF9Qrun7SU9N5O7PLxVb20k+VL0VgooorzTkCiiigDyz41GLwxrXgnxy6hU0XUvsN5OxOI7O8CwyEnIAUSCBix6BT61y3h3w3a/Eb4Y3GuXesN4S1TxhrY13SL5giTRlDusiI5GKuxt4FYqOqlzx29x1bSbLXtPnsNRtYb6xnXbLb3CB0cZzgg8GqmqeEtE1rRY9Hv9Js7zSo1VEs54FeJAo2qFUjAwOBjoK9Sni1CnGNtV18t7feB574F8ba54i0/wAeaD4iOm3Wp+Hh9nk1DSQyQXKyW/mqdjFijKGAZdx9eM4rj7XwvfeK/wBi3w9FpO5desNAstU0to4hJIt5bIk8IRT1LNGF/wCBV7rovhnSPDelf2ZpWmWunafz/otrCscfIweAO4q3Y6fbaXYwWdnBHbWsKCOKGJQqooGAoA6DFV9cjF3grap/cv1HzHypb+ItH1TULf4+T7LO0/t21s0vJnMpi0prb7OyHBxHieZ3Yjj5OenHtX7PNhcr8MbLWr5BFqPiaefxDcRhmYIbuQzInPI2RtGmO22uxXwdocfh9tBXSLJdFZSraeIFEBBOSCmMdea1o41hjWNFCIowFUYAHpRiMZGtDkUbf5LZfmF9DMh8V6HcTW0MWs6fJNdTy2sEaXUZaWaLd5saDPzOm1tyjkbTnGK8p+PnjrVND0Xw94k8BXEniHXI7q4t7XRrCYy2+pr5T+ajqjYJjMe4H7wKlBgvz6rB4T0a1ntpoNLs4ZbaaW4hdIFBjlkBEjrxwzBjk9806z8L6Rpz2z2umWtu9sJRA0cKqY/MYNJtwONxAJx1I5rno1KVGanZvyEeK3GrW3iz4efDPwnZa/P4qfxbMl5eanPy81pDi5unYBSqDf5cHlnG3zQvVah+KXjrU/h/4s8UeGrbUrk6n4utrNfDMMkxAt7l3SzmWEldqiMNHOVzk/OemcetaX8NdF0XxnP4ltYmjvXsf7PihXasMEZlaaTYoAwZHKliSc7ExjBzX8QfDmHxJ8SvC/iq8uVeLw7BdCzsvKORcTqqGYvu5AjDrtKnl92cgV3RxVHn1Xu2b+e6/RFnWWNsbKyt7cyvOYo1QyyHLOQMFj7nGamoorxG7u5AUUUUgCq95H4nmEKeD5bWHxAZV+zyXn+rXnk9CM49RirFbvgT/kbtK/67D+Rrrwi5q8F5oa3MYeGf2oZuf+Er8Pw+3lRf/I5pjeD/ANqIt/yOugge0MP/AMi19R/winV+pfUo9Zv7zpsfLsfgz9p9v9Z460JB6i3hP/ttXFfCmw8VaP8AtjRW/jXU4NX19tOk8y6t0VEK+TlQAqqOAPSvtbtXyn/zfxH/ANgxv/SY1xYjCxpSpyUm/eW7A+lvFVndal4a1W0sZvs17cWssUE39yRlIVvwJBrwLwpoOqW+pXnh+x8CX/h+KTVdL1CS6mESWkKweSZWWRWPmu5hZcKCTvBbGa7X47yCS78OWuoW3iK88OyNcSXsHhyCZ5ZJFVBCrtD86plnbgjJUdelcJ8PdUttS1uyHiWw8farcRagsOlR6hpVzHaWcKybYJJMAKz42u0kmcYHTGT11pKVZR7DPplfuivAf2ns/bNCHbZL/Na9+X7or5+/aeb/AImWhj/plIf1FeqB4jRRRQB93r90UtNX7oHtTqAIZpEgjaSRlRFG5mY4AA7muF1i60bUL26uF1rTC0sMSR+ZOh2tG7N69Dnn6V3csayxlWAZWGCpGciuPv8AQlstbe7j0q3u7eSBYxGuxSjBiT8pGDkEc5/hr5vO4zlRiuVON9b3089DpoNJt31L/g0rNZ3Eyy2shlmLEWbh41OAMZ9eM/jWB8bP+RZtv+vpf/QWrpPC1nJZw3PmQx2qyTGRLeMgiMHHHHGSQTx61znxs/5Fm3/6+l/9BavDzeNuG60dvd/U7cG/9tg/NFHT5/Hf2G38i3sjDsXZu67ccd/SrH2j4hf8+9j+X/167jQf+QNY8f8ALBP/AEEVofhRheG5SoQf1yrsvteXoOeOXO/3Ufu/4J5z9o+IH/PvYfl/9euc8cSeK20ZBrEFqln5y4MP3t2Djv8AWvaO/P8AKuF+MAx4Xix0+0r/AOgtRiuH5UaE6n1qpKyvZtWfroc88WpRa9nFX8v+CeLUUUV8eeKFFFFABXkfx2tz4X1rwX8RY5TCnh/UVtNSwSFk0+8KwSbgB82yRoZQDwNjGvXKp6xo9l4g0q70zUrWK90+7iaGe2mXckiMMMrDuCK6cPUVGopNadfTqB4DoHw5h+LngfVPFepai/h3W/E/iGHXtIvCqF7ZLQhNPBjZikv7qHzCp6+a2Rxx2fwv+JGteKdY8c+FvEdpYrrnhhrdJ7/SwwtbxZ4S6MgbJVgFwyktjK8mu91bwToOveH4tC1DSLO70eJUWOylhDRxhBhNo7YHQjpUnh3wlo3hHSzpui6Za6XYsxdobaIIrMerHHUn1Nd0sZCpGSkuunlt+iKueKabos2tfsW6AtqiSX1n4cstStVdSw863RJ4+ByfmjFcTq3i7Ste8SWfx6sbm3l0bQdX0/SnvjO4X+zbi2WO5LKB96Oa9QlT0MDA8jFfVmk6TZ6FpVppun20dpYWkSwQW8KhUjjUYCgdgBWRZ/Dvwzp/hOfwvbaFYQ+HZxIsulpAogcOSXBUDBySc1rTzCnFycovVv7nuTocr+zzpAtfh2NckjjS+8UXtx4humjDAM1y+5BhuRtiESY/2K9F/tC12hvtMO0yeUDvGN+cbfrntT7e3js7eKCBBFFEoREUYCqBgAewrGXwL4ejtRaro1kLYXv9pCIQLtF1v3+djH39xznrmvNqTjWqSnLqBzXxw1M6f8OdV1Ox1mbS9S0iSO7t3tJW3STqwKW7ov8ArBLkR+WQc+YMDOCPNdC+LGrt8E/Evi+5nkn8a61qjaRb+HpJcLpd+0gtILIRs4ClTtkc/KXDM3AIx7jN4H0C4uprmXSLR55r2PUZHaMfPcxoESU+rKqqAT6D0rG1j4U6Pq3jPSPEJjW3lsrt9QmgjjAW7ufI8iKWX1MaFgvfkHPFdtGvQhD2clfr0+75geafFLwCLPR/AvgPw34h1jQdbaAWUFxpuqzWsVvaxBTPdSRpIvmMOFUHPzSrnjNe920Yht4o1keVUQKJJG3M2B1J7n3965nxV8K/CPjjUIb/AF7w/Y6rewxeRHcXEQZ0jyW2g+mSTj3rpbW1hsbWG2t41hghRY440GAqgYAHtgVz166q04xvqr39WO5LRRRXAIKKKKAIbp/EEfkP4WjtJddE0f2ZL7PlFt4+9gitf+1P2mP+gR4V/M//ABypfCn/ACNGk/8AX3F/6EK+j1+6K+2yPD+2oyfM1r0ZvBaHzX/av7TH/QJ8K/mf/jlH9q/tMf8AQJ8K/mf/AI5X0rRX031H/p4/vLsfE2izeN7j9sjwK3j630+21oWEojXTT+7MPk3W0nk87t/6V9larHcTabdx2cwt7p4nWGVl3BHIO1sd8HHFfNfj7/k+zwB/2Bn/APRd7XrPxhmP2fQ7e4uNTt9HnvWGoNpcUzytGInKoWhBdFLhfmHpjvXLhf3Sqpu9n19BLqeUeD4dU0u4uvCsHgnxFaaheJp6T6hdQE2v2iJt9xcPdbtr7uSCMljgYHSvp9fu187+EpNO1LxBIuua/wCL9QsbW+8rSNNlsbyKBYwytG8riMNKwbcN0jY28EHGa+iFrswdnFtMo8N/agb/AETQF9ZJT+i14HXvX7TzDydAH+1Mf/QK8Fr0gCvuix/484P+ua/yr4Xr7osv+PSD/rmv8qAJvesXxJqFjDp89pd6hb2L3MTohlkVTyMZAJ561s/zrL17R4tWsbiMpH5zRMkcjqDsJHB/OuLGe09jJU0m7dS4W5lc4u4fT7i7t4rTU9ICSmHewmXejIQRsAPOenb8a9GX7tcH/Ys9xb2drFo8NhPDJETcqyFUCkE7eMnIBHQda7z+CvnsjjZVHy2vbv8ANWfY6cQ78queKWzawnxE1s6IsLXW5twl6bNwz365xXT/AGj4gj/l3sPy/wDr1S8Gf8lU1/0xJ/6Gtepj8zXyGQ5K8ZRrVViJwvUnpF2W/oetjMUqcox9nF+7Hda7HnP2j4g/8+9h/n8aT7R8Qf8An3sf8/jXpFFfTf6tS/6DKv8A4F/wDh+ur/n1H7v+CfOHilr9tduTqaxpe5HmCL7vQVlV03xH/wCRy1D6r/6CK5mvja1H6vUlS5nKztd6t+p41WftJuVrX7BRRRWBiFIyh1IIyD1B70tFAHynDZyTLffAOaKaa0TxKrNKVkw2gvm+wZMg8sr2xZeBjFdn8SLzUvgXJ4s+IGg31hrHh65uI7zWfD92AJllUJCz20ynIYgJmOQMMoNu0k17K3hfSG8SLr5063OuLa/Yl1AxjzhDuLeXu67dxJx6msu5+FvhC88SDX5vDemy60JBN9ta3Uybx91ye7Dsete39dhJq606ru9L+mw7nEeP28z9or4PMRjdZa4cf9sbeuO+NurS+CPGnivT9P2w33xA0e106yIJh3X5uFsvM83syx3ULYXnEJNfQV1oen32qWGp3FnDLqFgsi2ty6AyQrIFEgU9gwVc49BVfWPCejeINQ0u+1PTLW/vNLlaexmniDNbSEYLoT0OO4rOnjIxlFtaJW/FtfoFz5r8H6fptn4usfgnH5KReF/FTazDZrLIH/s4RfbLZt38RWeUIR0/dgHrz9TyzRwbTJIsYZgq7mAyT0A96of8IzpI8SN4gGnW41trUWTX/ljzjAGLiPd127iTj3p+saDpviBLZNSsYL5LadLqFZ0DCOVDlXGejDsfescTiFiJRdrW39erB2LD6haxLKz3MKLCwWQs4ARjjAb0JyMZ9RXz18QPE3iXwf4h8YeBbHUNRuL7xldWjeHL1nllfTxc/ubza+7KrAIpJ1Cfc8xa9wvPAvh/UYdTiutHs549UmiuL5ZIgRcyRbPLd/Ur5ceD22is3Vvh9DrPxM0HxbcyxsdFsbm2trcxAkSTMm6TceRhUKgD++aeHq0qUm3qrde61X4/gPQ5Szz4s+OUWnRSXMmkeA9NUSSTO7+ff3S4TczA72jgQktnObnmsr4L6BJN8RPEuu6f4n8Qah4YtVk0a1s9Z1ae8jubhJQZ7lRKxwFZPKUgYOHOSCK9K8C+C4/BdjqUf2pr671HUJ9Rurt4wjSySNkZA4+VAiD2QVV8J/CPwb4Fvvtnh7w5YaRc7Gj8y0iCHaxBI47EgVpLFQ5ZwXZJfr+IzrqKKK8kgKKKKACn6Xe/Ga3a7XwNZaBc6H53D3xbzvM2JuB+YDHpimV7H8F/+RdvPT7Y3/oCV7uT0/aYpRu1p0NIbnlv9q/tMf8AQJ8K/mf/AI5R/an7TP8A0CfCv5n/AOOV9K0V9/8AUf8Ap5L7zax8k/ETUP2hZPh/4lTW9M8NR6M2mXIvWgY+YIPKbzCvz9ducV6F+xeP+LAaF/13uv8A0e9d78bP+SO+Ov8AsBX3/pO9cH+xf/yb/oX/AF3uv/R71z06PscXH3m9HuHUtftB6LdahDa3zaJqHiTS7axvIhp+moZZI7yQRrBOYgwMgUeYOASm/djuOi+Ft9f+Ib7Udcn0fUtCsri3trWG21aIQ3MjReYHkaPJKAlgBnBIXPTFeV+IdY1H7Vreopq/inS/FSa9LaxLb2F1Larp4uPJ4j8tomHk/vQw53AH2PrXwntdFtbG9/sm81rUZ3ZDd3euC4E0rhcBv3qqOg6IAvsK2pyVSvdDPQa+J/Ghz4w109f9Pn/9GNX2xXxL4uOfFmtkf8/0/wD6MavWAya9o/Zj/wCQ/rX/AF7J/wChV4vXtP7Mf/Id1r/r2T/0I0AfQ9FFFACV82fG7/k6L4PfS4/rX0nXzZ8bv+Tovg99Lj+tedjv4a9V+aA+k16UtIvSlr0FsAUUUUwCkbpS0UAQ3H+pf6Gvmb/gn/8A8kl1v/sNyf8ApPBX0zcf6l/oa+Zv+Cf/APySXW/+w3J/6TwV5lT/AHuHo/0EfT9FFFemMKKKKAEFLRWdr+sW/h3Q9Q1S7bZa2NvJczNjOERSzH8gaLX0E3YkvrG21KFY7mCOeNXWVVlUMA6sGVsHuCAR6EU1dLtY9QkvktoReSRrE9wEHmMgJIUt1IBJOPc18/3GsfFm3+H03xQPinTTAmnnWv8AhDBpafZvsoj8ww/adxl8wxjO/wC7vP3dvFdvY/tCaHqsNuNN0jXNXvJtJtNbNpYWXmOltcRs6MTkLuwpG3O4n7oODjX2cumpj7SP2tDtbjwH4cutMtNOm0LTpNPtXMlvavaxmOJiSSyrjAJyenqau23h3TLX7KINOtYfsrvJBshUeU753svHBOTkjrk1xcPxy0HVNO8P3OhwX2vz65ZNqFpY6fGhnEClVd5A7KE2swUgnO7I7GiT46+H20fQb+1g1G/fW5JoLKyt7Ymd5oiRLEykgKylWBycDaeanlnsVzQudymj2KW8VstpCIYpPNjjEY2o+d24DscnOfU1Xj8MaQuuTayumWa6tNF9nlvhAvnPHwdhfGSvA46cCuP8XfGix8EWc2oavoWuWmkWqxve6k1unkWocIct8+5tu8BtgYAgjnFU/D/xc1DVvjF4m8IzaLOmmaZa2s0V8I1G3zBKWeQmT7h8sbcLnrmhRna4c8NjtdJ8EaBoN5c3Wm6Lp9hc3GfOmtbZI2kycncQMnJ5q5/wj+m+XYR/YLYJp5DWiiFcW5ClQU4+X5SRx2JFcVoXxu0bXtQ0eGOw1a1sNYlkt9N1W6tfLtrx1DthDncNyxsyllUMBxnIq38O/i5pvxPkvX0bTNVGn2s89q2oXdsIoHmik2OiEtluQfmA28EZyCKTjPdgpQ2RvQ+CfD1tqDX8WiafHfNN9oNwtsgkMgBG/djO7DMM9eTVttA0xrN7NrC3a1ec3LQGFSjSmTzfMIxjd5nz567uetfPfjrxz49f4p/ElNJ8b2fhzRPBmlWOopp95pcVxDdtLFM7LJIWV1BMQHytn5uOldv4P+Impa9r2k6pe213ZQXng631ibRow0jRTO5ZkCkAlwDt6AnHSr5JWvcj2kb2sej3HhHRLzXINZn0ixm1aAbYr6S3QzIPQPjI/Oo5PBegS64usvounvqy9L9rZPP4/wBvGfXv3rA0/wCLWnzXWpwatp2peGm0+xfU5X1aJI4zbKSHkDq7LhccgnIBBI5FZ1n8d9Kl0GTXLvRde0zSPsH9pQXdzY5S5iJjCKmxm/eOZU2o2GbJwODibTL5oHp9Ia4vwr8SrPxH4iu9Clsb/RtYht1vBZakiI8sBYoJU2swK7hg9wSM9RXa1DTjoy4yUtUFI1LSNQUcLr1rH/wkMs11oc+rwtCgjKxowjILZADMOvH5V0fh1Yl01BDYNpseTi3ZVUrz6KSOetZHiKTS1vwt4dQEuwY+ym42Yycf6vjP61d8HLIujruFwB5kmz7UWMhTedpbdz0xXyGCTp5jOKs73fS61W7sdtT3qafocx8cP+Resv8Ar6X/ANAevQbL/j2i/wBwV598cP8AkXrL/r6X/wBAevQbH/j3i/3BWWB/5HuL/wAMDWr/ALpT9X+hYooor7Q805T4geGrrxVpMVpaPDHIsyykzMQMBWHYH1rgP+FN61/z8WX/AH8f/wCIr2jAo4rx8TleGxU+eqnf1E4p7ni//Cmtb/5+LL/v4/8A8RR/wprW/wDn4sv+/j//ABFe07RRtFcn9hYPs/vFyo8W/wCFN61/z8WX/fx//iKP+FN63/z8WP8A38f/AOIr2nijij+wsH2f3hyxPFv+FNa3/wA/Fl/38f8A+Io/4U3rX/PxZf8Afx//AIivacCjAo/sLB9n94cqPFv+FN63/wA/Fj/38f8A+Io/4U3rX/PxZf8Afx//AIivaeKOKP7CwfZ/eHLE8W/4U3rX/PxZf9/H/wDiKP8AhTWt/wDPxZf9/H/+Ir2nbRtp/wBhYPs/vDlieLf8Kb1r/n4sv+/j/wDxFH/Cmtb/AOfiy/7+P/8AEV7TtFG0Uv7CwfZ/eHKjxb/hTetf8/Fl/wB/H/8AiKP+FN61/wA/Fl/38f8A+Ir2nijij+wsH2f3hyxPFv8AhTetf8/Fl/38f/4ij/hTetf8/Fl/38f/AOIr2naKNoo/sLB9n94cqPFv+FN63/z8WP8A38f/AOIo/wCFN63/AM/Fj/38f/4ivaeKMCj+wsH2f3hyxPFv+FN61/z8WX/fx/8A4itPwz8LdV0jXbK8nmszFDJvYRuxbp2yor1bijArSnkuEpzU4p3XmHKhF+7TqT+Klr3ygr5Rk+X9vq3x/FprZ/8AAZq+rq+UZv8Ak/u1/wCwa3/pK1eXjv8Al3/iQH1b96k2ilHelr0wCvnv9pxv+Jvoq/8ATBz/AOPV9CV87/tOf8hzRh/07N/6FTA8XoHJAop8PMyD/aH86APuxfuilpF+6PpS0AR461wniyzim1/de6Rd6tZm3XYIQCsThmzxuHJB/Qde3d7q4zxbcaTFqSC91HUbOXywRHaNKEK5PJ2AjPWvAzqmp4dbaNPW363OnDtqen4Gt4Rt7a309xa6bNpkW7PkzABifXqf51zfxs/5Fm2/6+l/9Bat3wOxawnCyXU0HnHyZbwsZHXA5+bnGcj8Kw/jZ/yLNt/19L/6C1eDm8ubhyq7W93yX5aHbhbrHQv3R2eg/wDIFsv+uCf+gitCs/Qf+QLZf9cE/wDQRWhX2GD/AN2pei/I82p8bCuY8feG7nxRo0dpaNEkqyrJmZiBgAjsD6109FbVqUa0HTnszM8V/wCFN63/AM97H/v4/wD8RS/8Kb1v/nvY/wDfx/8A4ivaqTaK8L+wcH2f3kcqPFv+FN63/wA97H/v4/8A8RR/wpvW/wDnvY/9/H/+Ir2jb70bfej+wcH2f3hyo8X/AOFN63/z3sf+/j//ABFH/Cm9b/572P8A38f/AOIr2jbRto/sHB9n94cqPF/+FN63/wA97H/v4/8A8RR/wpvW/wDnvY/9/H/+Ir2nbSbfej+wcH2f3hyo8X/4U3rf/Pey/wC/j/8AxFH/AApvW/8AnvZf9/H/APiK9ox70Y96P7BwfZ/eHJE8X/4U3rf/AD3sf+/j/wDxFH/Cm9b/AOe9j/38f/4ivaNtG2j+wcH2f3hyo8X/AOFN63/z3sf+/j//ABFH/Cm9b/572P8A38f/AOIr2jbS7aP7BwfZ/eHKjxb/AIU3rf8Az3sf+/j/APxFH/Cm9b/572P/AH8f/wCIr2jb70bfej+wcH2f3hyo8X/4U3rf/Pex/wC/j/8AxFH/AApvW/8AnvY/9/H/APiK9o2+9G33o/sHB9n94cqPF/8AhTet/wDPex/7+P8A/EUf8Kb1v/nvY/8Afx//AIivaNvvRt96P7BwfZ/eHKjyPRPhXq+m6xZXck1o0cEySMqOxOAwJx8teuL2owPWlOK9PCYOlg4uNLZlJW2Fooor0Rny34//AOT7vh//ANgZ/wD0C9r6h2huozXy94//AOT7vh//ANgZ/wD0C9r6iHevLwfx1fX9CY9Q2L6Uo4paK9Qo8F/ag5bw8P8Arv8A+yV4TXuv7UH+s8P/AEn/APZK8KoAMbuK+6LL/j0g/wCua/yr4Xr7osv+POD/AHF/kKAJ85xWfrSSSaTdrEWEpicIY/vZ2nGORzV+qmotGljcGVmSIRsWaPO4DHJGOc/SuesualJPsyo/EjzzSNO03zLR5vCd9HdZUvIyhgr9yTv5Gec4/CvSv4TjrXmP2iwe4tv7J1LWb6886PEEjzhGXcN24kAABcnk9q9P52++K+cyT3Y1IWWnVLffr1OvE3bTf4nl3gv/AJKpr3+6/wD6Gteq15V4L/5Kpr3+6/8A6Gteq1xcJ/7pV/6+T/8ASjfMf4sf8MfyFpKWk/CvuDyzy3xb8M9U1zxBc31vNarFKQQsjsG4AHOFNZH/AApvW/8AnvY/9/H/APiK9o+tG2vAqZLhas3Uknd+ZPKjxf8A4U3rf/Pex/7+P/8AEUf8Kb1v/nvY/wDfx/8A4ivadopNvvWX9g4Ps/vFyo8X/wCFN63/AM97H/v4/wD8RR/wpvW/+e9j/wB/H/8AiK9o2+9G33o/sHB9n94cqPF/+FN63/z3sf8Av4//AMRR/wAKb1v/AJ72P/fx/wD4ivaNvvRto/sHB9n94ciPF/8AhTet/wDPex/7+P8A/EUf8Kb1v/nvY/8Afx//AIivaNtLto/sHB9n94cqPFv+FN63/wA97L/v4/8A8RR/wpvW/wDnvZf9/H/+Ir2jHvRj3o/sHB9n94ckTxf/AIU3rf8Az3sf+/j/APxFH/Cm9b/572P/AH8f/wCIr2jb70bfej+wcH2f3hyo8X/4U3rf/Pex/wC/j/8AxFH/AApvW/8AnvY/9/H/APiK9o20bfej+wcH2f3hyo8X/wCFN63/AM97H/v4/wD8RR/wpvW/+e9j/wB/H/8AiK9owKNvvR/YOD7P7w5UeL/8Kb1v/nvY/wDfx/8A4ij/AIU3rf8Az3sf+/j/APxFe0bfejb70f2Dg+z+8OVHi3/CnNb/AOe9j/38f/4iu++Hvhi68K6TPa3jwu8k5lBhYkYKqO4HpXWcUYFdeFyvD4Wp7Sle/qNRSFooor2SjjPjN/ySHxv/ANgO+/8ARD15/wDsX/8AJAND/wCu91/6PevQPjN/ySHxv/2A77/0Q9ef/sX/APJAND/673X/AKPevLn/AL5H0Yj3DYPSl2gcgUv8VLXpWW4xG6V8SeK/+Ro1n/r9m/8ARjV9uV8Q+Jzu8TasT1+1zf8AoZqgM2vav2Y/+Q5rf/Xun/oVeK17R+zH/wAh7W/+vdP/AEKgD6IooooASvmz43f8nRfB76XH9a+k6+bPjd/ydF8Hvpcf1rzsd/DXqvzQH0mvSlpF6UtegtgCiiimAUh7UtFAENx/qX+hr5m/4J//APJJdb/7Dcn/AKTwV9M3H+pf6Gvmb/gn/wD8kl1v/sNyf+k8FeZU/wB7h6P9BH0/RRRXpjCiiigBretUNd0e38QaLf6Xdp5lpe28ltMn95HUqw/ImtCgnFF+omrqx8/zeB/ipdfDU/DiaPw4mmvZnSZPE638pmNltMZItPIAEvlcf63bnnPas3RdI8R+Cvi94p0jwFpuk3ltpvhvRbBLLV7yW3CIguUhdZESQsFCkMhUFgQQylcN9IbTTfKRXLhVDHq2Oa1VV6q25i6K0sz5n039mnWPAuleCk0qO18RNo+l3FjfWU+r3OliSWa4+0NLFNCjEgO0gCOB8pHORz6V4V+HF3o83g6SPTdP0SDSzfPc2NpezXaq85LZWWRFaQliWYsByTXqO2kpOpJ6AqMUfOHxu+CXjn4mReNdMgntLqw1qKOPTby61y6t49PREUmNrOOMxybpAx3liSGGfugHtv8AhXuv2fxY17VY4bG98OeItKttPvJGu3hubJoVmGUQRsJA/mj+JNuD1r1rb7UvFHtJWsHsY3ufO3wx+Bmp+GZvDel6/wCGdH1Sx0GVWt9b/wCEivZGzEGFvMtlJGY1lHygjfhSWKnotejfA/wDqPw38BLouqSW8t1/aN/d7rV2ZNk93LMgyVU5CuueOuevWu+mkjt4zJI6xovJZjgfiawZvH2hwyFDfhiDg7UYj8wOfwpSqSloyo04x2PP7X4Dafqfxs8Y+MfEmj6LrdjqNvp0elrdwLcTW0kCyCVsOmEyWjwVJzt5xgVteMvAmvatr+t6jot9b6bPc+HJNKs7hmYPBcl3ZHwB90bhyDnjpXbaX4g07WObO7jmP93OG/I81pjijnle7H7ONrHz5pvwT8Sa/Hr8Gtx2mi22q+GbrQSYtau9WmEkwAaYmdVAX0RfTknOFt6l4H+JPjb4azeF9ctfDekS2tjCtveWeo3E32q8geJ42YLDF5MLeW4YKWYbgRjbg+8U3t0qvavfsR7GKR5P8Mfh5c6H4oudb1PwlpujagLQ2Md9B4iu9VneMuHKfvokCJlQ3BJz2Hf1umU+s5ScndmsYqKsgqrfQNc2ssSSvC7qVEkeNy+4zxmrVNbp6VnJKSaZR55cK2n6zPa3via6tI44keN53hXzMk5wSmOMfrXReDrp7nRwz3L3eJJFW4fH7xQ5AbgDjFYXi7UNusRRTT26QRPB+5niRvMV5NrtlugA9PWuk8M339oae0qsrxCWRInQAKUDELjHbAr4vLIwhj5wjJ6X3bbeq3u9ux6FW/sk2t7HJfHD/kXrL/r6X/0B69Bsf+PeL/cFeffHD/kXbL/r6X/0B69Bs2/0WH/dH8qrAf8AI9xf+GH6lVf90p+r/QsUUm6jcPWvtLo80474la5faBoMVzYTeTM1wqFtqt8pVjjBHsK8y/4WZ4l/6CX/AJAj/wDia7/4zH/imbfH/P2n/oL14zX59neKrUcTy05tKy6mU5O9kdP/AMLO8Tf9BL/yBH/8TR/ws7xN/wBBL/yBH/8AE1zFFeD9exP/AD8f3sz5pdzp/wDhZ3ib/oJf+QI//iaP+FneJv8AoJf+QI//AImuYopfXsT/AM/X97Dml3On/wCFm+Jf+gl/5Aj/APiaP+FneJf+gl/5Aj/+Jrza48cWNn49s/Cc8U0V9e6fJf2s7gCGdY3VJI1bOS670YjH3WzmsjWvi9pOi3OuwG1vryXSbi1smW1iVzcXVxgxwR/MMvgqTnAAYc1tHEY2TSjOXfdhzSPYf+Fm+Jf+gl/5Aj/+Jo/4WZ4m/wCgl/5Aj/8Aia8Zufild2egR6nL4H8Sq25xNaeVAZYVUZ3t+92lSM4Kk9DWTov7Qmk6ppOh6tPoGuaXpGtXNra2N9eW8Yjla4OIj8sjEAkgZIGNwrb2mPtdTl94c0j3v/hZ3iX/AKCX/kCP/wCJo/4Wd4m/6CX/AJAj/wDia8juPi1oNr8WrX4dyySJr91ph1WLgeWyBypTOfv4UtjHQVteHfFlp4mvdbt7NJCuk3hsZpmxseUIrMFIPO3ftOccgispYjHQXM5Stvu9mHNI9D/4Wd4m/wCgl/5Aj/8AiaP+FneJv+gl/wCQI/8A4muXorH69i/+fkvvYc0u50//AAs7xL/0Ev8AyBH/APE0f8LO8Tf9BL/yBH/8TXnfjjxZb+BfB+seILqNpoNOtnuDCucyEDhBgHljgdDyav6LeXGoaNYXV5bJZ3k0Eck9tHL5qwyFQWQPgbgDxnAzjOB0q/reM5OfnlbbdhzSO1/4Wd4m/wCgl/5Aj/8AiaP+FneJv+gl/wCQI/8A4muYorP69iv+fj+9hzS7nT/8LO8Tf9BL/wAgR/8AxNH/AAs7xN/0Ev8AyBH/APE1zFFH17E/8/X97Dml3On/AOFmeJf+gl/5Aj/+JrW8J+Ptf1PxHYW1ze+ZBJKFdfKQZGD3C5rgq3vAv/I4aV/12H8jXXhcbiZV4RdR2bXXzKjJ3PoZc0q9KRfuilXpX6ojcWvk+6/5P9sf+wa3/pI9fWFfJ93j/hv2w5/5hzf+kj15uN/5d/4kI+r16UtFFeoMK+c/2mm/4qTSB/06E/8Aj5r6Mr5y/aa/5GjSf+vM/wDobUAeOVLa83MQ/wBsfzqKprL/AI/IP+ui/wA6APulfuj6UtIv3RS0AVriN5YXVJGiYggOoBK+/NcNcNe2uvNZXPiWW3RYVlV5YoAZMlgQPkxxt5+td+fbpXDeLLt5tYjtSbVYoBDKyTwrI0oeTYQufugY5PPUV8xnsI+wjUcmmmurSfrZnXhm+bl/T/gGx4PvJby1uhJe/wBoiOYotzhQHGAeNoA4zj6g1z/xs/5Fm2/6+l/9Bauo8O3Udwt5HAIRbwTeVF5IAUAAZHHoSRXL/Gz/AJFm2/6+l/8AQWryc404crLmv7u+vfzOrCf77DS2qOz0H/kC2X/XBP8A0EVoVn6D/wAgWy/64J/6CK0Mj1r6/BtfVqXovyPOqfGw/hrkfiVrV5oOgpcWM3kTGdU3bQ3BDZ4IPpXW8etcL8Yf+RVj5z/pKf8AoLVOOm44abi7OzMnsee/8LO8S/8AQS/8gx//ABNH/CzPEv8A0Ef/ACBF/wDE1y9Ffl31/E/8/H97Obml3Oo/4WZ4l/6CP/kCL/4mj/hZniX/AKCP/kCL/wCJrl6Kf17Ff8/H97HzS7nUf8LM8S/9BH/yBF/8TR/wszxL/wBBH/yBF/8AE1y9ctofxI0XX/Bl54mgeaLTrM3K3STpsmge3d0lR0J4YFG4Pt61ccZjJK6nL72HNI9Q/wCFmeJf+gl/5Bi/+Jo/4WZ4l/6CX/kGL/4mvGZvjJpvnWsNno+t6nPJYw6jPDaWJZ7WGUMY/NBIwx2t8oy3HSk8RfGTTvC+r6fp17omu+fqVybOyaOyytzKEaTavzf3EY846Vv7XHt25pfeO8j2j/hZviX/AKCZ/wC/MX/xNH/CzvE3/QR/8gxf/E15f4Y+ImmeKdZ1XSIYruz1PS4bee7tb2ExtEkwcxnPQ58tuh4xWR4Z+OnhLxd8Nb/x1pt5LNoNiZlnbymWVWiOGTYedx4wO+4etT7fHLXml06vrt94uaR7P/ws3xN/0Ev/ACBF/wDE0f8ACzPEv/QR/wDIEX/xNcpDMJ4Y5ArIHUNtYYIyM4I9afWH17FrecvvYc0u51H/AAs3xN/0Ev8AyBF/8TR/wszxL/0Ef/IEX/xNcvRR9exX88vvYc0u51H/AAs3xL/0Ef8AyDF/8TR/ws3xN/0Ev/IEX/xNeYXnjaOH4iaf4SgtRc3M2ny6ldSiXb9liV1jjJXHzb2Lgcj/AFbV09XLFYyKTc3rruw5pdzqP+FmeJf+gj/5Ai/+Jo/4Wb4m/wCgl/5Ai/8Aia5eis/r2K/5+P72HNLudR/wszxL/wBBH/yBF/8AE0f8LN8Tf9BL/wAgRf8AxNcvRR9exX/Px/ew5pdzt/D3xB8QX2uafbz6hvhluI0dfJjGVLAEZC17atfOHhP/AJGjSf8Ar6i/9CFfR69K+3yGtUrUpOpJuz6m0G2tR1FJmjNfUFny54+P/Gd/w+/7Az/+i72vqJa+XfHwz+3f8Pv+wM//AKLva+olrzMJ8dT1Eh1FFFeoM8D/AGoP9d4f+k//ALJXhde6ftP/APHx4e/3Z/8A2SvC6AFX7w+tfdFn/wAekH/XNf5V8Lr94fWvuiz/AOPWD/cX+VAEvvWB4otbxrOW5tb+e28iJnMUMaN5hAzj5lP6Vv8AXrVPVLk2Wm3NwqeY0UbOF/vYBOK4cZTVWhOMm0rdG0y4ScZJo4JdTuLe1sbhPEv26aSWNWtoUhBk3MAwX5c8Zz+B6dR6Lu+U+uK89sbwaesl072FzeyTQmCSGBY9wkI3IpBJPGea9DH3Sfavn8ha5J2lfyu3bdX1b1djqxG60/r7jy7wb/yVTXv+B/8Aoa16r6V5X4O/5Kpr30f/ANDWvU8jiuThJ/7JV/6+T/NnRmX8SP8Ahj+SHUynZFJur7i6PKPH/G3jrW9I8S3lpZ3vlQRlQqeUhxwO5U1hf8LM8S/9BH/yDF/8TSfEj/kctQ+q/wDoIrma/LMZjMTHETjGo0k31MHJ30Oo/wCFmeJf+gj/AOQIv/iaP+FmeJf+gj/5Ai/+Jrl6K4/r2K/5+P72TzS7nUf8LM8S/wDQR/8AIEX/AMTR/wALM8S/9BH/AMgRf/E1y9BPB4zR9exX/Px/ew5pdzqP+FmeJf8AoI/+QYv/AIml/wCFmeJf+gkf+/MX/wATXlmi/EzQNe8AzeMra826BBDcTzXMiFfLWBnWYsOvymNx+FYEXx48P31w8Gl2Or61NBp9tqd3Hp1mZXtYbhGkhLrkHcyqSFUE+1dCrY+V0pS082HNI9x/4Wd4l/6CX/kGP/4mj/hZviX/AKCf/kCL/wCJrxvxF8XrDwz4isdFutE1x73UJpLey8mzDJcukbSMEO7sisecdK2tF8dadrOrahpey4s9QsbaC7nt7xNjCOVWKsOeQCrqSOAVI7USrY6K5nOVvVhzSPSv+Fm+Jv8AoJf+QIv/AImj/hZniX/oI/8AkCL/AOJrxW0+PHhC++FNz8RYb6RvDFv5m6fyW3sUmMJAQcklxgeuQa9BX5lzionisbT+OUl82HNLudT/AMLM8S/9BH/yBF/8TR/ws3xN/wBBL/yBF/8AE1y9FZfXsV/O/vYc0u51P/CzvEv/AEEf/IMX/wATSf8ACzfE3/QS/wDIEX/xNeY+IvGX9ieLPDGgQ2YvLrWnnZsylPIt4Yw0k33SGwzwptJX/WDnjFdNWssVjIxUnN2fmw5pdzqP+FmeJf8AoI/+QIv/AImj/hZniX/oI/8AkCL/AOJrl6Ky+vYr/n4/vYc0u51H/CzPEv8A0Ef/ACBF/wDE0f8ACzPEv/QR/wDIEX/xNcvRR9exX/Px/ew5pdzqP+Fm+Jf+gl/5Bi/+Jr0n4Y67f+INFubi/n+0SpcmNW2quF2qcYAHcmvDq9i+C5/4pu85/wCXxv8A0BK93JcVWq4pRqTbVnuy4Nt6s9EopKM1+hmxxvxm/wCSQ+N/+wJff+iHrz/9i7/k3/Q/+u91/wCj3r0D4zf8kh8b/wDYDvv/AEnevP8A9i7/AJN/0P8A673X/o968yX++R9H+gj3L+KlpP4qWvTGI3SviHxId3iHVCOn2qX/ANDNfb9fDuv/APId1H/r5k/9CNAFGvaf2Y/+Q5rP/Xun/oRrxavaf2Y/+Q5rf/Xsn/oRoA+h6KKKAEr5s+N3/J0Xwe+lx/WvpOvmz43f8nRfB76XH9a87Hfw16r80B9Jr0paRelLXoLYAooopgFFFI3SgCK4/wBS/wBDXzN/wT//AOSS63/2G5P/AEngr6ZuP9S/0NfM3/BP/wD5JLrf/Ybk/wDSeCvMqf73D0f6CPp+iiivTGFFFFABRRRQAUUUUAFFFFABSN0paiuAzQyBeGKkD60AeLfEjxpJfXksMbkWkJ2ooPDEfxGvL7jxAfMPzH863PFcb+bKCOQxzXn91G/m9D1oA73w/wCI5YrqOSKRkkU5VgeQa+iPCGvDxBo8c7ACZfkkHvjr+NfKmgRv5iV9FfCNGXSbon7pdcflQB31FFFABRRRQAmKr310tpayzMMrGpc49hmrGaimhS4jaN1DIwwVPcVlU5nF8m41a+p55dX97qq2P2zTNPv3vEZ7dZF4h4z85IPGMdO9dpoNvNa6fFHcPC0i5/1MexAM8AD2HFUf+EC0LOf7Nh/X/GtbT9Nt9LtUt7aJYoVzhF6DJzXzeXYDE4fESq4hp3W99em+h11asJQUYHB/G/8A5F6y5x/pa/8AoD1Sh0Hx/JEhTVrVVIyOf/tdXfjd/wAi/Zf9fa/+gPXf2Y/0WH/dH8q+YllUMzzzE89SUbRj8La/I9BYiVDCU7RTu3uk+x5t/wAI78QS2DrVsPfP/wBrqVfC3jtvva7Cv0//AGK9M2ij8a9r/VXDfaq1H/2+/wDM5vr9TpGP3I8T8b+H/EGmaPFNqusC9gMwUQqD12tzn8P1rh69l+Mn/IsW/wD19L/6C9eNbvrXy+Py+nl9Z0qTbWj1bb/E83E151pJyS+SS/IKKT86PzrzTjFopPzo/OgDy747MPDdv4Z8cLES3hvU0e6kRQWWxn/c3GeCSoDJIQvJ8oelcpo9poN18FU1r4gvceHz4s1E6288cjJNYSOTNagzRqPLaOGKJdzY5XaeTg+9sqyKVZdynqGGR+VI0aSR+WyBkxgqwyK9GGK5acYW2e63t2+8dzxn4TeJtW17w745tbjWpPFWh2B8vSfEElssTXsb2wdwSoCybHYruUDPTqDWfofgm78cfsbaLoVn50OsP4atpbBo38qSO8ijSSAhj90iVE57V7ssaRx7FQKmMbQMD6YpVVVUKq7VHAAGAKqWM1vFW1T+5fqFz5Os/ESXXg0/HW806WC4PiC1vpltbYm4i09LcWbwtuG5kQyTPwOSeBXuPwE8P3eg/C7SJNTj2a1qxk1rUl8ryyLq6dp5FK9ipk2f8ArvvJjMfl+Wvl/3NvH5U/8AOniMa68OS1tfw6L5A2cvZ/Ezw5qN5ptrb37ST6je3On2y/Z5Bvntw5mXJXgL5bcnAOOCcivKvjhrl54y0fwxqXwzf7T46+0Xi6PcSL5SrEiMl0JPMX7hKouDgF/KJOBmvevJj3A7BkEkHHQnqaVYo124QDbwMDpnrWNKtCjNVIx182I+etJ1HSPFXh34XeCPDi3qwahKdY1dL7cbqKC0cPOLklg3mveNEhPIYmTqKr/GK8vfCfj7V/C+lRzpcfE6C1trSZI3aOO4jZYLtyVOUK2ZEgIAAMRPU8+9WvhfS7TxJda/FZqur3NslnJckknyUZnCAE4UbnYnAGSRnOBinqXgfTtW8baP4nuvMmvdIt54LKFgpiiM20PKMruD7V2ZB+6zDHNdkcZTjUvb3bP73r+dirm3Y2ken2dvawLtggjWKNc9FUAD9BU9J+dH514zu3dki0Un50fnSAWoLrQ9b8SNBp/h7WToGrSyr5V8E3bMckY9x3qb863vAn/I3aX/ANdR/I11YWKlXgn3Q1uZP/CoP2gbf/UfFSzlPX99F/jEahk+GP7Sq/6v4k6Kw/2ht/8AbU19Rr0pc1+pLA0+kn97Omx8tf8ACs/2mlOf+Fi6Efr/APwtcH8NtL8X6P8AtmaRbeN9UtdX18WUpkurP/VlDaybQPkTkD/Zr7hr5Qvvl/b+03305v8A0kkrixGGjSlTkpN+8t3cD6wooor6EYV85/tM/wDI0aT/ANeZ/wDQ2r6Mr5z/AGmf+Ro0n/rzP/obUAeN1Y035tQtR/01X/0IVXqzpfzapaf9dk/9CFAH3Mv3RS0i/dFLQBGzbVJrzq81SfWI7We70ex1G1u3KWasfnQ8kFyw4BC5OPTvXozKGXB5Brkj8L/Duf8AjxZRnI2zyDH/AI9XzubYXFYpRjh2rdU7eXdM6qE4Q1n/AF+Jq+GbKex09Y7hLaJs5ENom2OMeg9ec8+9cp8av+RZtv8Ar5X/ANBauz0bQ7PQbU29lGYoid20uzc/Uk1x3xr/AORZtv8Ar5X/ANBavJz+i6XD9elLRqJ1YGV8bCXmZen6T49ks4DDqVrHCY12AkcLjj+Cpz4e+ILf8xi2H4//AGuvQNBH/Ensv+uKf+gir/4Vz4XhijOhTlKvU2X232KqY6fM7Qj9yPMF8OeP/wCLWrYD2P8A9rrC8aaL4m0/R0k1fVI7u2Myjy1HO7BwfuivbP5Vwvxh/wCRXj/6+U/k1GK4bw1CjKqqs24q+s2191zCpjpyi48sdfJHitFJ+dH518eeKLRSfnR+dAC18yeOGk0Xx34j+FtpZt5HjzUrS+twvl7RbyhjqjbT22WzkknJa4GK+mvzpjQxtKshjUyLwrkZI9cGu3D1/YN3V7/mtUxo8F+NOsaL4P1LWNa8OeN4vCfjjTtOjh/smRBLDqSqC1vE1uRuckuVV4vmBbHzY21p/Ea9utU8Q/Am8vbf7JeXGt+dPb4I8p20y5LLzzwSRz6V7LJZ280iyyQRvIv3XZASPoTT2jSRlLIGKnKkjkHGM1v9dilH3btXV/VWC588ftKSal4L8XadrumZCeK9JufB07vPsjjupP3tnJtAyzcXK57bhz64GueG4NC+I1p8HtOsxDoviC+0rWGhMJ8iOzs4c3KIV6FnsbZSW6m475r6mkiSYKJEEgU7gGGcH1HvR5aeYJDGpkA2hyOQPTNbU8w5aahy7J/8B/Idz5V8YrpNv8Z9Qtcy/wDCqrjV7U+KF2j7ENdIzGrk9Y222/nYyvmeVu6vX0/q2tWGhx2zX91HapcTpbQmQ4DyOcKo9yelWfssJjdDChR23MpUEE5zk/jTmjSQKGTdtIYZHQjvXLXxCrcia2/Hz9QuYB8f+GiIQdZsz52ptoqDzPvXq7g1uP8AbGxuPY185eAW0qH4vWtnM8g+FcesXUvg8Tqq2f8AawAM4XOCVEjXHkHG3cJdp4Svqr7NCcfuV4bePlH3vX6+9QX2mQXti9qVMUbKVUxqMpkHlcggEZParoYinRUkk/e/q68xaHivh++0G68H/Ej4keNX3+Hdcd4PLuA5VNJtt0MKBM/8tGaaTC/eM471P+ynofhbSfB+o3Xh/wDs23vNVuRqN7pmmXIlTTw4xDAcHhlRQCeMsGr1zQ/Dth4f8P2OiWkAXTrO3S2iiYAjYqgDPGO3pVy3s7e03eRBHBu6+WgXP5U6mKjKE4K+rVvRbCJ6KT86PzrywFopPzo/OgCtf6XresrDaeHdUXRtZknjFteSIHWNt46jB/ka0/8AhUP7QXX/AIWpY/8Afn/7VVzwj/yM2lf9fUX/AKEK+jlFfa5HhoVqUnJvR9G0bwWh8yf8Ki/aC/6KlY/9+v8A7VSf8Kj/AGgv+ip2P/fn/wC1V9PcUcV9P9Qh3f3lcp8R+HfDvjDwz+2P4GtfG2uxeIdWaxlkS7hXAEJhugqfdXowY9P4q+2xXy74+/5Pu+H/AP2Bn/8ARd7X1EtRgIKDqRXR/oNDqKKK9cZ4F+1B/wAfPh7/AHZ/5x14ZXuf7UH/AB8+Hv8Adn/nHXhlADoRukQepH86+6LT/j1h/wBxf5V8NWi7rqEerqP1r7ltv+PeL/dH8qAH1geJ9WurFrK2sUhe7upGVftBIQKqlmJx9B+ddATWRrnhnT/EUcSX8RmETFkw7IQTx1UivPxtOtUoOFB2k7fdfU0ptRleWxyOhQS6nqJuLXSdN06WCZop7rYHcupw3lgAYB9Se9ehdIzXL2/w18P2sySxWTI6MHBE8n3gc5+9zXUsMKT7V5+U4OthaclWSu30/wCGRtWqRnJcm39ebPEY7XWLr4ia2miTx291ucl5MY27l46Hviui/sP4ht01a1H4/wD2uofB+f8AhaWvY/uv/wChLXqY5HPWvgshyKnjqVarKrOP7yekZNLd9D2MZipUpQiop+6t0m9jzD/hHfiF1Os23/fX/wBrpy+GvHrfe12AfTn/ANkr07ikwK+m/wBVcN9qrUf/AG+zg+v1P5Y/cj5x8T2t7Z65cw6hcfartSN8o6Hjisr8K6b4kf8AI5ah9V/9BFcx+dfG1qEcPUlSg3aLa1d382zxqsnUm5PqLRSfnR+dYGQtH4Un50Z9jQB8ueL9HvdP+IniL4SxvMdH8d6pb67GyiX91ZNk6rF5g4Xc0CgLwP8AS/et74yX3h3wL4g8SeKvDPjCHw98Qo7KE3Wjswlj1cRq32eF7c8szZKK8eGGfqD9BtFG0iyFAZFGA2OQD1FRyWdvLMsrwI8q9HZASPxr2FjlePMtEtfN6b/d+o7nkPjK8vNS8f8AwJu7+xbTL6e9vJbiyZxIbeRtKnLRlhwdpJGR1xXPftF69d/DjxdBrOmxTtf+LNFm8LWps4d8jai0g+xZYnaoBmmPPoevAr6DaNHZWKAspypIzj6elJJDHNt3xq5Vty7hnaR3FRTxkYzhJx0Sat6tsLnyza+Fz4S+L5+EsCMNC1TVdP8AFtuYZGDNDDCRcLJkbcfabOBig7TZ78fTWta9p/h2zS71O8isrZpo7dZJmwDJI4RF+rMwA9zV0wxtKJTGpkUYD45A9M0SRpKoDoHAOQGGeR3rLEYr6y4uS23833EYN54+8O6feNa3OsWsFwt/FpZjd8EXUqB44f8AeZSCB3zXz1ceH7iLx5P8EJLZpfDN7raeJ4t3llP7JJNxJb7cD5ftyFOu7ZJ6c19QtbwuwJhRjuD5Kg/MOAfrWFH4Ntl8dXfiprieS8m06PTUhLfu4Y1keQso/vMXGT6ItaYevCjzWXT8ej+Wo9DzzwzHp/i7xl8RvG+usv8Awj1nBJ4atftBxALKAF7yXhiCrzFlJwCBbrWD+yfpngZY/EviDwilhp516SOZNHs5w72tlGWW3MqAnY77mkIJ43hcnbXtPhPwrZeD/DdpolmZZrW3Vl33JDSSliWZnIA3MSSScck1p29jbWrEwW8cJPB8tAufyoni1KM4RvrZL0X9XET0Un50fnXlgLRSfnR+dAC1FY+Afit4imu7vwd45ttB0gyhfsc0AysgRdxzsbOeO/tUn517H8Ff+RdvP+vxv/QEr3cmpxrYpRk+j8jSG55L/wAKj/aD/wCip2P/AH6/+00f8Kj/AGgv+iqWP/fn/wC1V9Ofj+lH41+gfUYfzP7zWx8i+Pvhb8crLwL4iuNW+JNnfaVDptxJd2qxczQiJi6D90OSoI6969I/Yt/5N/0P/rvdf+j3r0L4yf8AJJfG3/YDvf8A0Q9eefsV/wDJvuhf9d7r/wBHvXLCjGjjIpN6p7u5R7rRRRXugIecivh3Wzu1q/PrcSf+hGvuJulfDWrNu1S8PrM//oRoAq17T+zH/wAhzW/+vZP/AEI14tXtP7Mf/Ic1v/r3T/0I0AfQ9FFFACV82fG7/k6L4PfS4/rX0nXzZ8bv+Tovg99Lj+tedjv4a9V+aA+k16UtNWqWr6ra6Lps97eyrDbQI0kkjdlAJPHfgHiu+9lqBforBvPGGkafY215PfxJbzywwxsDuJeWRY4xgZPLOo9s5OADW6DmkpJ7MBaKKQ9qsCK4/wBS/wBDXzN/wT//AOSS63/2G5P/AEngr6ZuP9S/0NfM3/BP/wD5JLrf/Ybk/wDSeCvMqf73D0f6CPp+iiivTGFFFFABRRRQAUUUUAFFFFABTGYKpLEADrmkeRY42ZiFVRnJ6CvFvHXxSuL7xRBoOmwmW3CmW6k3bVjj5Ck+pY9F9s/S4wc3ZEyko7lr4ieG4ri8e9sVEtrNy7x8qr55HHTt+deaT+GS0h+WustvGF3oszPbSgKx+eNxuRx6Ef5PvT5PiFp8zbptBtWk7lJXQH6KDgVBRleHfCslxeQwonzuwUccfWvoHw/osWg6bFaRHdt5Z/7zdzXjH/CxJZITBY21vpkTcN5GTIw9N55re8L+PLrT2SOV/tNt/cY8qPY0AeuUVXs7yO+t454XDxOMgirFABRRRQAUUUUAFFFFAHm/xv8A+Resv+vtf/QHr0Cx/wCPeL/cFef/ABu/5F6y/wCvtf8A0B69Asf+PeL/AHBXxWA/5HuL/wAMD0qv+6U/V/oWKKKK+1PNOd8ZeF/+Es02Oz+0/Zdsol37N3QEYxketcd/wpP/AKiv/kv/APZV6kaOK8zEZfhsTPnqxuxWR5Z/wpMf9Bf/AMlv/sqP+FJj/oL/APkt/wDZV6nxRxXN/Y+C/k/EXKux5Z/wpMf9Bf8A8lv/ALKj/hSY/wCgv/5Lf/ZV6nxRxS/sfBfyfiPlXY8s/wCFJj/oMf8Akt/9lR/wpMf9Bj/yW/8Asq9S/Gj8af8AY+C/k/EOVdjy3/hSY/6C/wD5Lf8A2VH/AApMf9Bf/wAlv/sq9T4o4o/sfBfyfiHKux5Z/wAKTH/QX/8AJb/7Kj/hSY/6C/8A5Lf/AGVep8UcUf2Pgv5PxDlXY8s/4UmP+gv/AOS3/wBlS/8ACkh/0F//ACX/APsq9S4o4o/sfBfyfiHKux5b/wAKR/6i/wD5L/8A2VH/AApH/qL/APkv/wDZV6lmjNL+x8F/J+IuVHlv/Ckf+ov/AOS3/wBlSf8ACkx/0F//ACW/+yr1PdSbqf8AY+C/kHyrseW/8KTH/QX/APJb/wCyo/4UmP8AoL/+S3/2Vep8UcUf2Pgv5PxFyrseWf8ACk/+ov8A+S3/ANlV7Q/hP/Yur2t9/afm+Q+/y/I2549d1ei4FHArSGVYSnJTjHVByobTl6UtFewUFfKGof8AJ/2mf9g1v/SSSvq+vlDUP+T/AHTf+wcf/SSSvLxv/Lv/ABIR9XDvS0g70teoMK+cf2mf+Ro0of8ATl/7Uavo6vnL9pr/AJGjST/05n/0NqAPHKt6ON2sWIPTz0/9CFVKv+HxnXtNA/5+Y/8A0IUAfcC/dFLSL90UtABRRRQAh7V558bP+RXtv+vpf5NXoZ7V558bP+RXtv8Ar6X/ANBavleKP+RNiP8ACehl/wDvVP1Oz0H/AJAtl/1wT/0EVoVn6D/yBbL/AK4J/wCgitCvdwf+7UvRfkcU/iYtc94y8MnxXpS2YuPs2JVk37N3QEYxketdBR+ldFSnGrBwnsyDyr/hSLf9Bf8A8l//ALKj/hSLf9Bf/wAl/wD7KvVc0ZFeN/Y2C/l/EnlR5V/wpFv+gv8A+S//ANlR/wAKRb/oL/8Akv8A/ZV6rmjNH9jYL+T8Q5UeVf8ACkW/6C//AJL/AP2VH/CkW/6C/wD5L/8A2Veq5FFH9jYL+T8Q5UeV/wDCkW/6C3/kD/7Kj/hSLf8AQW/8gf8A2VeqZozR/Y2C/k/EOVHlX/CkW/6C/wD5L/8A2VL/AMKQb/oL/wDkv/8AZV6p9aM0/wCxsF/J+IcqPK/+FIN/0F//ACX/APsqT/hSLf8AQX/8l/8A7KvVaM0v7GwX8n4hyo8q/wCFIt/0F/8AyX/+ypf+FIt/0Fv/ACB/9lXqlGaP7GwX8n4hyo8q/wCFIt/0F/8AyX/+yo/4Ui3/AEF//Jf/AOyr1XNGRR/Y2C/k/EOVHlX/AApFv+gv/wCS/wD9lR/wpFv+gv8A+S//ANlXqvFGaP7GwX8v4hyo8q/4Uk3/AEF//Jf/AOyo/wCFIt/0GP8AyX/+yr1XNJ+H60/7GwX8ocqPNtJ+ELaXqlpeHVPN+zyrLs8nG7BzjO6vSR0o4pa9DD4WjhYuNJWTHYWiiiu0Z8t+Pf8Ak+/4ff8AYGf/ANF3tfUS18vePv8Ak+74ff8AYGf/ANF3tfUS15mE+Op6/oJC0UUV6YzwH9qD/j68Oj/Yn/nHXhte5ftQf8fXh3/cuP5x14bQBPp4LX9sB1Mq/wAxX3Jb/wCpj/3R/Kvh7ShnVLMf9Nk/9CFfcUP+qT6CgCSiiigApG+6aWkb7ppPZgeVeD/+Sqa99JP/AENa9V9K8r8Hf8lU136Sf+hpXqnpXxPCf+6Vf+vk/wA2ermX8SP+GP5IWiiivtzyjzvxJ8K28QazPf8A9peT5pB2eTnGBjrms3/hSLf9Bf8A8l//ALKvVelGa8WeU4SpJzlHVk8qPKv+FIn/AKC3/kD/AOyo/wCFIn/oLf8AkD/7KvVeaOaj+xsF/IHKjyr/AIUi3/QX/wDJf/7Kj/hSLf8AQX/8l/8A7KvVcij8aX9jYL+X8Q5UeVf8KRb/AKC//kv/APZUf8KRb/oL/wDkv/8AZV6pupeaf9jYL+QOVHlX/Ckm/wCgv/5L/wD2VH/CkT/0F/8AyB/9lXquaMij+xsF/KHKjyr/AIUk3/QX/wDJf/7Kj/hSTf8AQX/8l/8A7KvVc0Zo/sbBfyByo8q/4Uk3/QX/APJf/wCyo/4Uif8AoL/+QP8A7KvVc0Zo/sfBfyhyo8q/4Ui3/QX/APJf/wCypf8AhSLf9Bb/AMgf/ZV6pxRxS/sbBfyfiHKjyv8A4Ui3/QW/8gf/AGVJ/wAKRb/oL/8Akv8A/ZV6rRmj+xsF/J+IcqPKv+FIt/0F/wDyX/8AsqP+FIt/0F//ACX/APsq9VzRmj+xsF/J+IcqPKv+FIt/0Fv/ACX/APsq7HwT4UPhHT5rT7T9q8yUy7tm3HyqMdT6V0nFFdOHy7DYafPSjZgopbC0UUV6pRx3xk/5JH42/wCwJe/+iHrzv9iv/k33Qv8Arvdf+j3r0T4yf8kj8bf9gS9/9EPXnf7Ff/Jvuhf9d7r/ANHvXlz/AN8h6MD3WiiivUAK+F9QbdqFyfWVj+pr7or4UvDuu5z/ANNG/nQBFXtH7Mf/ACH9a/69k/8AQq8Xr2v9mIH+2NbPbyI//QjQB9C0UUUAJXzZ8bv+Tovg99Lj+tfSdfNnxu/5Oi+D30uP6152O/hr1X5oD6Rrlfiboeha74L1L/hItPj1LTrWCS6MbIGZSsbfMmejYJwfeusXpWd4hmtLfQdRlv22WKW8jTt1xHtO79M12TSlFpgeOeD/AAP9j1TRr+0+E3h+whjkjkjv/tsZuIUOP3m0RffCknAPXv3r3Nfu14d4TvNC023V0j8YaRb6Zd2FsltqV+SjLcSrHC20SNmMsQCDg47V7kvSuXDW5QClrzj4gx+M49WLeHomuLa60ySzjZZkVbO6aRcTurEFgEzjaSQVxg7sjQ+H3hu68K3Wq6ebnULvTVMLW8uo3TXDtIVJlKsxJ25K8dAc4ro9pefJYDsbj/Uv9DXzN/wT/wD+SS63/wBhuT/0ngr6ZuP9S/0NfM3/AAT/AP8Akkut/wDYbk/9J4K46n+9w9H+gj6fooor0xhRRRQAUUUUAFFFFABRRRQBx/xQ8RReG/Cd1dSvtUKWbnBKqMkD3PA/GvAPD8M9ro7X16P+JjqLfa7j/Z3fdQeyrgY9q9O/aQ2yeFbK3dd0V1cx28i+qtLGCP1rhdYXapUDGK6vhof4n+COb4q3ovzOb1HUCrN81ZLagd3WpNSzk1jMW3H0rlOk6Kx1A7gM1cvNaudK1bRbpZW+xSTfZbiLPHz/AHGx2wwHPocVg2Ody1qa5b/aPCuogjJjiMygd2T5x+qiuig0ppPZ6feY1r8ja6H0J8NdUbzJbNjlGHmLz0I6/wCfavQP4a8g+Gs7T6ppsh4Mibjj3QmvX1rCUeVtGkZcyuOooopFBRRRQAUUUUAeb/G7/kXrL/r7X/0B69Asf+PeL/cFef8Axu/5F6y/6+1/9AevQLL/AI9ov9wV8VgP+R7i/wDDA9Kr/ulP1f6FiiiivtTzSC5zt4OKrbm9T+dWLr7tVVr5bMak41bJ9DeC0Hbm/vN+dG5v7zfnRSV5ftqn8zLsiO4keOGRwSSqkjJr5ZHxY+Leh/AWz+MP9p6T4n02HTf7Y1Xw21h9lkFop3ztDcCTho4g7DcrbtuMZwK+prhTJBIg6spAr5jt/hP8U9U+Atn8IJrDw/oel3Omtomp+IF1CS7kFo4KTGG38lAXeMso3OApYHnGK7KFZ296XVb9upLR6P4s/ab8JeDbeC9vYNfm0JoIbm41+10a5k060hlRHjkluNm3aVkUkru25+bbVW3/AGhC3x61j4dv4e16SG0tLGWLUYNJuXh8ydpwzSShSixARpiToW8wZ+U48n+On7M3jXx5ZeOvD2mKt54fvtHt9N8Mxy+JLqztNISO3CMj2cS7Ji0gJ3uWOGAwAuD6/eeFfF+kfGrUvEGj2Wn3ej6zoVlpk11cXbJLZTW8tywkEQQ+apFwON6nK49625oqN+bfzAu+Hf2hvDXiDxtp/hZrbXtH1HVElfSpNc0i4sYtTES7pRAZVUsVX5irBSV+YAgE1h/Hb4tap4F8ceBNBTWLTwloeutdC78T6hCJYYZkCCC1G4hEeUuxDMcfuiAMnI8r8B/s3+P4/i18I/F/iVlnvvCct++t6nd+JbvUX1KS4sZYPMghlUR26iRl/dpgBWxztGfoP4mQ69fW8Wn6f4Q0fxfo15DLFf2uq3ogxnAUBTFIrqQXznHbrk0nJQlFRldeoHDeOPj9e/CfUPh9oupWWreMrnW3YXereH9CuJ4JY/InkQw+VvUyExISgYnYS2MYrd8Y/tKeFvBWvX+mXNr4gv00vb/a+o6ZpE9zZ6UGQSD7RKikL8jKxA3FVILADmuD8K/BXxt8PvAPw1t9OtdM1bVfDuvXmqz6Sb54LW1t7iK7QWtvKYySkP2hEXKAFU6DpWpq3gP4haOvxK0LQdJ0fU9J8YXM93b6le6jJFJYvPbpFKskYjbzArKWXaw4IXjGafMm/i/Hz/yA7TXv2gvDWi/EDTPBUcer6x4gv7a1vkh0jT5rpIrWeV4kuZJEG1Ig0bbmYjAwcGlh+PmhyeOLTwzNpniSxe9uGs7PVL3RbmGxurhULmJJXUZO1WIYgK207WNY/wAOfg3feAfipJq6zRz6HD4N0rw3BJJITcNLazXLM7jGMFZU5zyc8V594e+Bnjx/Hnh/VvEAbU73TfEc2pz65ceJ7uZJbUm4EUUNgVEMO1ZY1wAMbDyTyVGUW2ud7dxfI9A1T9qjwlpfim30c2XiK8S41f8AsCHVbPR5prGTUAxV7cTKMblKsGONo2MMkqcX7z9pPwfYeI59PkbVjYW2oro8/iCPTZm0uG+aVYhbPchdoYSMsZP3Fc7WYMCK+SvA9/caL4y07xjqQh8ReF7nx5e/2X4Xh10Jc2+oz38sS3I077OredGjO7xtKwVfNk27skeseGf2U20Ga90HV/Bln4t0N9euNRg1S78T3sZMEt410nnWpBR5YmfGQcOYwxwWNayUYLWT+8SPo/xtc+KIdGUeFIdOl1SSZFaTVpZFhgi/jk2oCZGA6JlAxPLrXK/s0fELWPir8B/BPi3XWiOr6tpyXNz9mTy495JB2rk4HHrXY+K7vWbPSS2haXb6vfMwT7PdXhtU2kHLb9j8jjjHfrXnP7LPgnxZ8MPg94e8FeK9N0+1uNBso7WO606/a5S5OWLHBiTZj5cdc57Y54/aSdJvm1v31L6nsW5/7zfnRuf+8350tFcvtan8zCwm5v7zfnT4mbzF+YkfWmU+P/WL9a3oVZurFOT3QNaF1elLTf8AGnV9scwlfKOof8n/AGm/9g4/+kklfV1fJ+of8pAdL/7Brf8ApJJXl43/AJd/4kI+saKKK9QYV85ftM/8jRpP/Xl/7O1fRtfOX7TX/I0aT/15n/0NqAPHK0vDQ3eI9KHrdxf+his2tTwqu7xRo49byEf+RFoA+216UtIv3RS0AFFFFACHtXnnxs/5Fe2/6+l/9BavQz2rzz41/wDIs2v/AF9L/Jq+V4o/5E2I/wAJ6GX/AO9U/U7PQf8AkC2X/XBP/QRWhWfoP/IFsv8Argn/AKCK0O1e7g/92pei/I4qnxMD3qG5YqhIOKmNQ3X+r/GrxDaoya7CjuV9zf3j+dG5v7x/Okor4z21T+ZnRZC+ZJ/eP50jO394/nSUNT9tU/mf3hZHzBcfFD4tWvwt8SfEyw1bSdYstCvtVkn8Mz6eITNZWlzKhVLkSZWQRxFtxVgSMbea9D1j9p7wvo/h/StdWw8SaloN/psOrtqumaJcz2lraSxiRJpZAmANrAlV3MByVArhF+GPxPb4Y+I/hxFp+gafpmu3uqRzeIW1GSeSGzvLiZyy2whXMnly4wZAAecnFZvxK/Zy8T6hDfeHNEgk1DwdD4ZttC0CybxPd6db6W0ULxF5beFcXGR5fLk8JjAGc+n7TmdpS+59CT0jUP2iYbP422HgWPQPEF5aXdjFcLqlpo1zLb75HjCP5yrs8kLJ80nRSCCRg1r2P7QGgXnjiy8MzWHiDSp9QmkttP1DVNIntbO+mRWd4opJFGWCo7DIAYKSpYCsxvCfizQ/iJ4R1jTtOsNS06HQho2otNemGS2PmxN5qL5ZEgAV/lyuTjnnI8w0H4AeO7r4ieBNe18fab3QNduNTv8AWLrxLd3a3kTw3ESrBZuPKtwPNT5V6BSATyTDkpa83TuB6P8AtB/FzVvhxqvgLT7a8g8O6P4g1KS01HxVfQ+db6YqxF40ZchQ0zgIrsdq4OQcisj4gfH7VvgvZ/Dix1SO88d3fiLVmtrjVtB0SeSGS1aK5mjMKxF1M22OIbQTuUSOAAOPRviNJ4jkt7W20fwvpPinTLlJY9RtdTvjbHaQuzYDFIrg5bIOOgxmvBvDP7O/jrwL8PfB8WnxaTeapo/j648Wr4f+2vDY6fZzRXUQsLaXyz8sQuAV+RVJ3cCinVvH3pfj/VgZ6z4u/aV8LeD9audLktvEGr3djBFdasNF0a5vRpEUil0a6MaHyyUBbyxl9o3bcEEx6x+1B4K0vxpoXhS2n1TXNb1zTLfWbCDRdOnvFlsppWjW4LopVEUqSxYjA556VgR+E/iT4B8bfEXVPDWjaHr1l4vlt9Th+3ai9s9heLZRW0kcmInMkX7iNgVwRuYY71g/Bn9mPV/hH8ZvCuspfW9/4e0X4aw+EDM7kXEt4l957Ps24EZUnHzZ6DHejmildze3cD0/Vvj1omh+Mrfw/f6b4ktY57yPT01qXRrhdNNy7BUi+0FcZZiFDfcycbs1z/ir9rbwT4S1y506SHxBqkdtq0egzahpOjXF1aJqTsqrZ+aq4aXc6ghcgMdpO7Kjz/XPgP4+8ReMby71Urqrf8JdBrFrq1x4ku1gg02K8SaK2j09V8lXSJdm4j5iCxO45Hgw1Y+E/FPinx7qSWviXwxb/Ei8uIvB9try2t3NqovjDbyrpqW+5rlAqOEMp8xU84rubI1glLXmb+ZPyPsvW/2mvBnh/XL+wupdUbT9NvU03Udfh06Z9Lsbp2VVhmuQu0NudAxGVQsA7Ka7zxddeIYdCm/4RqCxn1dmRIhqUjpAgLAM7bAWbauSFGNxAG5c5HzTL+y28mpeKNL1rwTp/jTQNY1q41CO7uPE15bAQTzecUntQCjsjM2Cp+YKp4PNfTXiK61Sx0maTRtOh1TUF2iO1uLr7OjDIBy+x8YGT905xXPUqcrjyyf3lHnn7LPxG8QfFT4H6H4k8Sy202t3Fzf29xJZQmGJvIvp4FKoWOPliXue9et+Y394/nXiX7K/gXxf8LfhjaeE/Fem6dbSWVzeXEd1p1+1ys32i8nuMFTEhXaJVXPOeele11hWqzU3yy09RpKwvmP6n86PMf1P50UlY+3qfzMdkPWRtyjPertUY/8AWJ9RV+vostlKVOXM76mM9wooor2jM+XPHv8Ayfh8Pv8AsDP/AOgXtfUdfLnjwf8AGd/w/wD+wM//AKLva+o68zB/FU/xMAooor0wPAf2oP8Aj68O/wC5P/OOvDa9y/ag/wCPrw7/ALk/8468NoAu6Iu7WrAHobiP/wBCFfcEf+rX6V8Q+H13a9po9bmIf+PivuBaAFooooAKa33TTqa33TSewHlngz/kqmu/7sn/AKGleqV5X4M/5Kprv+7J/wChpXqlfE8J/wC6Vv8Ar7P8z1Mx/ix/wr8haKKK+3PLKUrMJDg0zzH9T+dOm/1hplfFYipNVZJSe50JKwvmP6n86PMf1P50lLXP7ap/MyrI8h/aG8e+JvB7fDjT/DOoQaZd+JvFkGh3F3cWwuPLge0u5SVQkDdugTn0zVDwj8VPE3hH4nar4B8e3tprN0uiP4j03VtJ0+WJ57WObypongUyfvELxYKn595woxze/aE8A+JPGknw5v8Awza2d9d+GfFkGuT219dNbrLClrdRFVcI+G3Tp1GMA1z2pfCfx54w8ReLPHF7Ppvhfxi3hi58N+Go9OunuFsvNbzTcSysihnMqQ4AT5RGeW3YHowrfu0pS/zvcho6nS/2jdF1Rdai/sHxfY6jplqL0abeeHrpLq7ty4QSwR7SZBuYAr95f4lFZHw1/aYTxh8FdB8b3vhfxML3UEhjOmafod1JJNM0IkJgUr80OCcSkhDjG7NZnwb+D/iHwr47i17UtPbT4/7Dk06Y3fia81q5nuGljfzC04+RTtbhfx7AY+l/Cv4kW/wN+H3hG4tIYbjw3cQWupWWkeIp7IarZxWzopFzHGskeZCjGMdQmC2Diqc1spfiM9u+HPxK0n4peHTrOiteRxxzyWlxbX1tJbXFtcRnbJDLE4BV1PBH5EjBryb4N/FrxP8AEzxZrIv/ABXpej3Wk61fWt74GfTSL2GzieSKFvMZwztJtjm81VMZDlAMgkdb+z38N9S+F/hXW7HUYYbZ7/WrnU4beG9lvPJjlCEI00vzuykEFj1xn2rhfHXwr8d/Fnxt8PtS1Tw74f8ACt14Z8QQ6rN4i0/Unnup7WJmJtY18pGCTLtV1ZioGeGwKzjU95pS073A0Phn+1xpXiXRfiBq/ifT9U8KaR4U1G9il1LUNLube3+zQyBF3M68zncMxL82cALnium0n9p/wjqEmsQX0OveHbzTdNuNYNnr2kXFlNc2UABlnhV1HmBcjKj5xkZUZFec6t8CfHereAPi34OiTSbMa94hn8SaHq7TmYNIbqG5ihngKDaN8RViGYYI4PSpPiR8GPHXxz8QWuu6/p2l+F59C8L65pem2lpqbXX2y91G2WBmlYwrshRUBGAWJfJxtwdOaLd+dpeoHovg/wDaW8N+PvBd34r0LTfFGoaHHFDLazx6Bd7tQEg+X7Mnl7pMN8rEDapBJIX5qbH+074M/wCEU1DWr2TVtKuNP1KHRrnQ77TZ01Nb+ZUaC2W2ClpHkWWNl2blIbOcK2OR1T4QfEDT/wBmX4YeB9B1SOy1rw/b6LZ67BZ38tn/AGjaW0SJdW0N3GBJCXKgiRQCQpXgMa8D+J/wR8R+CdE1ubUH0vw4fFnj/RLzSjceIJZWtDbWZCl9RuI2eGXzIAVdQxJIjHD4pwUZNrne/cD6l0f9qTwjqek+Ir+4tvEGjf2DeQadd2up6PcRzteTAGO2hQKxmlO5Plj3cSIejA11Xw++LOlfEabVLO1g1HStY0toxfaRq9q1tdW4kBMbMp4KuAcMpIO1hnIIHyp4N8G6l8TvCfjTwLaw2+q+KvD/AIh03xBq2tSeIJbu21u6bcHga6iijMMqQwIhWNAEzH8ozz9C/BT4aReCdQ13Um8H2/hi+1JLeKWZNcn1SW5WLzCod5QNoUyNgD+8fas6rUE7Sd/X0ArfEHx5458L/Gb4c6XA+kweDde1WbTZo9skt5ORYXFxv3HCxBXhUYG8tknK9K9k3P8A3j+deK/GDwz468SfEHwDqegaBpV7pnhfVZNTeS81ZreS432VxblAggYLhpwcknIXtmvY7VpJII2mjEUpUF0VtwVscjPf61hUqT5YtS6dwSRP5j+p/OjzH9T+dFFc/t6n8zKsg3N/eP51YtmLKcnPNV6sWv3T9a9HL6k5VrNkT2LFFFFfVmBxvxj/AOSR+Nv+wJe/+iHrz39iz/k3zQv+u91/6PevQ/jEP+LS+NR/1Bb3/wBEPXnv7F3/ACb7of8A13uv/R715cv98h6MD3OiiivUARulfCdwd08h/wBo/wA6+7a+D2OWJ9aACvbf2YR/xM9cP/TGP/0I14lXt/7MP/IQ1z/rlGP1NAH0DRRRQAlfNnxu/wCTovg99Lj+tfSdfNnxu/5Oi+D30uP6152O/hr1X5oD6THSuO8d+KtD0m0uNK1pNRe3vLZxIbPTbm5URkFTloo2Cnr15712HWsrxRpkOseHNUsbmf7Pb3NrJDJNnGxWUgtn2BrrqJuL5dwPBtJuvDN/r2jG88Y+INQtdSu7Nbe3uvD80Ed7JA++3Vpfs4GA2GJyM7eeM19Hr0r58t9bPik6DoV/8R/A91YW9/aSqumEG6uWhnjeFEzMQrMyKpIB6nFfQa9K5cKrJgeC/HzTYL3xr4bfW/CfiDxt4ZjsrgSafo8DyJBcl4/LmO113Nt8xcMeA2RzXVfA6z8P2elaiPDvgrWPBcDTqZbfWbdoXnbb99QXfIA46isX41tps3i7Q7TxpdXVl4Bms5w7W8s8EMl95kflpPJEQVXZvZQSASGznArW+B95plxDrSeGbzUL7wjFNGmnSXzyuqsE2ypC8vztGGUdSQGLY4qI6Yh/0/8AhgPT7j/Uv9DXzN/wT/8A+SS63/2G5P8A0ngr6ZuP9S/0NfM3/BP/AP5JLrf/AGG5P/SeCip/vcPR/oI+n6KKK9MYUUUUAFFFFABRRRQAUUUUAeT/ALRFjNJ4HOoRxtKNPlS5KKMk7ZEb8vlP51w2oQi5hWRGDo6hlZTkEEcHNfRkkayKVdQ6nqrDINcj4r8BjWpPPtHjgl2hfLK4U46dOlae0vBQ7N/iZKFpuV9z5y1GwLE8fpWQ2nnceK9U17wbqGlsftNrIi54cDKn8RxXPNovzdP0rM1OasbE/Lwa6EWIbS7tWGVML5/75NXrTR9uOKta9bS2fhbVpYY2eVLSVlVRkkhDgVpT+NLzIqfA2dB8Ed8mn+GpXyXa1RiT/wBczXt3avNPhdoL29npjpGY7e3gVQSOp2Yx+tel06rUqkmu4qatCK8h1FFFZGgUUUUAFFFJ60Aeb/HA/wDFPWX/AF9r/wCgPXf2Y/0WH02j+VcR8YNNu9T0G1W0gkuHjuVZljGSBscZ/MiqEPjrxT5apH4bf5Rj5t1fmlTMqWU51iJ14ytOMbWTe2+yPajQliMLBQa0bvdpdu56duFG6vL28a+NWPy+H1H1jY/+zU3/AITLxx/0AF/79t/8VXqf62YLpTm/+3H/AJGH9n1f5o/ej0y4+7VX0ritF8R+LdQ1SCK/0dbezYnzJNpXbx7n1rtF+lc8sfTzGTqwi4rb3k0/uZlKjKi+WTT9HcfRRRWZA1mC8ngVxnh34z/D/wAXa5/Y2heOfDWtaxhj/Z+n6vbz3GF+9+7Ry3HfjiuvvP8Aj2l/3T/KvjnxPofhub/gnfa6zq0Nrb6vpHhk3+iakcR3VrqaKWtGglHzJIZhEBtIJzjvXZRpxqL3u6RLPsvjrTdw3YyM9cV8YfHf4x+L/CvgfW9f0rxB4r/4TDwvpFpdappGmaZbNpGnXJtopZEupJApkDbs7UdmUOMACu8sfBeo/wDDW3jLxDL481vTtOtNA0fUJtNQ24tJIvMvQYXLRFhGvls3DBsyNzjAF/Vna7Ycx9K4FYHi7x34a8A2Md74n8QaX4cspJBEl1q17Faxs5BwoaRgCeDxXyz4T+N2vL8f/hNp+l694q8R+EPHq6gZL7xFp8FrZzLFZNdwyWSqqSgDCgll2lWGCTyPXvjp8NfF3iDxR4P8beBrrSZPEnhf7SqaPrxkFlfQzhFkG5AWilAT5JArY3MpGGNT7Dlmoze4XPV9F17TfEml2up6TqFpqmnXSeZb3llOs0My9mR1JDD3BrQ4r451xbn45X3wd17Rte174Y7tdv8ASLrQdL+yNHYX0Fvfi5dGaFhI29Xj3j5WU5ABOa6rxVq3jHxUPit4lsPiHe+FI/BNzLbWGkwwQG3P2e2jnMl2HUs4lZjjDJ+7Ixg803h3ff8Aq9gufTnFHFfNPh/xN40+K3xx0q0TxRqPhPQLfwfonia40e0ghLz3M1xdCSGR5EJEZWNVZVwTgYIxzlWvxO1e4+LXha70HxJ4z13w/qmvyabd3F9p1rDopXy51MMJKpKXSSAEOoZTk/Mc8L6tK9kwufScPg/QbfWm1mLRNOj1duG1BLSMXB4xzJjd0461scV8Z2vi74hfEL4iaZDpPivxdZ30Xje7t9Q0+y0yNdJXQ7eaWMP9odCuT5cYJDl2d3XYMZRdH+KXxb8ftqPivwtpfiu7vIfFE1hbaPs02DRlsLfUGt5oZ/MmNwJjCkjltqkSFQBsGTcsLP7Uhcx9Z+J/FmieC9Ik1bxDrGn6DpcTKsl7qd0lvCpJwAXchQSeOtL4Y8VaL400aLVvD2sWGuaZMWEV7ptylxC5UkEB0JBwQQcHqDWd8QtW8L+G/Dra74uFjHpekyLdpcX0SyeTMMqjRggnzPmKrt+YlsDrXnH7K/gO+8K+HfGGv6hpraFL408SXXiSPRXAElhFKkccccmOA5WJXYD7rSMMnGTioR9m5Pcd9T3CiiiuUoKWL/WD60lcd8Ute8UeG/B9xfeD9Hi13W0kQJZy5wVJ+Y4BBJA7ZH9K2oyUakZPoyXsd9T6+UB8cP2hf+iXWv8A4DTf/HaX/heH7Qn/AES61/8AAab/AOO19T9fh/LL7mctz6txXyfqX/KQDSj3/s9v/SOSl/4Xh+0L/wBEutf/AAGm/wDjtZnwt8O/Evxj+0xp3jrxb4SfQYIbSWOZ1BSIAQNGgAZiSxLjgH1PauStiFiJQjGL0aezHufYdFFFe+AV85ftNf8AI0aT/wBeZ/8AQ2r6Nr5y/aa/5GjSf+vM/wDobUAeOVr+DufF2hjrm+g/9GLWRW14JG7xloI9dQtx/wCRFoA+1VpaKKACiiigBvNeefGv/kWbf/r5X/0Fq9C5zXCfF7T7nUPDcS20Ek7rcKxWNckDDDP6ivleJozqZRiIxV3y7LU9DANRxUG31Os0H/kD2f8A1xT/ANBFX68tsvH+v29pFDF4amcRoEDEsM4GP7tTt488Vv8A6vw2w+u415eF4qwEKEIOM7pL7Eu3obzy+tzN6fev8z0uobn/AFf415q3jbxr/D4fXH/XN/8AGrej+J/Fl9qkEF9oqQWr/fkVWG3j1JrSfE+ExEXSjTneWnwNL77GTwNSK5m1p5r/ADO4opBnvS1zGAUjdqWkbpVIDitO+M3w/wBX8SHw7Y+OvDd94gErwHSbfV7eS6EiEh08oPu3Lg5GMjBzXa+9fIOsaL4fvv2MviJf63Baq+mXfiLULC+kASW0vY725a3lik+8kgkCbWUg5471V8cfErxpa/DbTLo6942j+IOleEbLUtW0nQdMtWs7G8a2EryXbzAAqXjcGNZCwGcL0Ndzwya91k3PsfcN23v1pa+aP+EN1nxJ+0t4d8Rf8J7r2mwTeHIdSfSbb7MLUqksIe3+aIt5chBZvm3ZY4IGBWHb/FvWofjJ8PH0XX/FuveGvE+s3Gm3F1q9hbQaTJH9mnlUW2FSXcrQqA+0oyl/mY4rP6vLo+gXPpnxT4v0LwPpbap4j1rT9A01WCNeapdR20IY8AF3IGT2Gak8OeKNH8YaNbatoWrWOt6VdbvIvtOuUngl2sVbbIhKthlIODwQR2rzX4+fC/xD42u/BniPwjqOnxeKPCOoSajZabrYdtOvt8LQukoXLI4VzslAYoSePmNfP3i/XJPj1Z/CW+0q91j4V6hp3xFu/DuraJpRtXjstUjtb97iaOQxFZW37x5mNrCZyV3ci6dFTimmFz7h2ijaK+bGuvGHxM+InxM021+JN34Ls/AclnYWcdpBbu08jWUV093eiRTvRjJtCqUG2N+5yOC+HvxY+IPxz+OHw80s+KNQ8GaPqHw0sfF+oabZW0Jae6F+0TrukQlEkBXOOdoAGCc1P1WVr32C59ocVkHwnoja4NaOjaedZxj+0PsqfaMbduPMxu+7x16cV8z+Nvipq1r8SIdS8MeIvGer6daeKbXRdQU2NomgQ7rtbWe1LsqzNIhY/PHvw+ATjOOS1jxt8T/id4+1XTtD8VeKNJ1O28fHR47TQdPiOlpoMFwsVxO1zIjL5wXzd2X3CRNgjwM1ccLPe9hXPtvHtWbr/iHSvCuk3Oq61qVnpGmW43TXt/OkMMQzjLOxAAyR1NfI+pfE74xeLrvxpr/grT/EuratpHiGbTNL0aAabDohgtbjy5IrkyT/AGgySJvYvhcExhQANzfVXja+8P6X4butS8U/YU0ew23ksuoIrRRMhDK+GB+ZWAIxzkDHNZSoum1d7jTJPCvjbw9480s6l4a17TPEWm+YYjeaVeR3MQcYyu+NiMjI468it6vDP2afDN4uo/EXx5c6TJ4dt/HGtrqdlo9xGEmhto7eO3SWVRjbJN5RmKYyvmYJJya9zrKrFRk0hoKKKKxGEf3l+oq+K4H4n694j8NeDby/8KaMuu63GyCGzfOGy4DHAIJwuTgEV4f/AMLy/aE/6JXbf+A83/x2vdwOIhRg4tN+ibMKm59XUV8o/wDC8P2g/wDollr/AOA83/x2j/heH7Qf/RLLX/wHm/8Ajtel9fh/K/uZmW/Hn/J9/gD/ALAz/wDou9r6iH6V8feA9J+J/wAQP2lfC/jTxb4ObQbfTrOW1lkjQpEE8ucKfnYksWmA4/Lg19g9qWCvLnnayb6iQ6iiivVGeA/tQf8AH54d/wByf+cdeG17j+1B/wAffh7/AHJ/5x14dQBo+G/m8RaX/wBfUX/oYr7fr4f8O/8AIwaX/wBfUX/oYr7goAKKKKACmt92nU1/u0nsB5Z4N/5Kprv0k/8AQ0r1LPavG5LjVvC/jzVr6HSJ7xJiyrtBAwSCDkA+lbH/AAsLxI/3PDUo+rN/hX5Rkud4bK6dbD4mMlL2k3ZRb0b01SsfQ4vC1K8ozg1blXVdvU9NBFG6vMW8ceMW+54dx9VY/wBaj/4TTxv/ANAFP+/b/wDxVfQ/62YHpCb/AO3H/kcP9n1e8fvR6LKCXam1ieFdQ1PUtPaXVbMWVxuICDjI9cZOK265PbxxP72KaUtdVZ/cYOLg+V9BaKKKQjn/ABd448N/D/TYtQ8T+INL8N2Ekot0u9XvY7WJpCrMEDyMAWIVjjOcKT2qXwr4y0Dx1pY1Pw3rmm+IdOLmMXmlXcdzDuHVd8ZIyPTNeQftSKG8QfAdWAZT8RbTIbp/yD9QrlvEFzpvw1/ah8UXOkyxeGPD8ngK41jxNdafboY4LqO5UW11JGAQZfK+0YJUlxHznaMd8aKlBNbsm59Qn5RmhSG5FfLPw71LxV4o8W634V/4Srx/Y6TqmgveWmq+IrOygu45I5418+1CqSEdX5WWMY4wOeMn4Rrd+Cf2UfhnbzeOPGF5e65DavYw6Pa20962bTf9hgzGFSNREz735GDl8Gk8M11FzH17wB7VyafFXwXJ4w/4RJPF+hSeKtxX+w11KE32QhkI8jdvzsG7p056Vw37L3i7xB4q8B6wniS41C61DSddvNLWTWIoY73yo2XYJxCTGZAGwSpwcZrzOzXUv2W/GmkaVremaZ4q+H/jLxi50nxBCirqularqEshRbhWBE6lnZBcKwdVyrDaBlQo+9KD3Q7n1gpDfSlr4U8Mah4m+Bvwc+PHjTTfHN5qOoWvi3UNMtoteEJsraeS+hhN64jjVi4EpYjO35fu12nxS8ZeOvgH4qi0KDxnq3jG18QeE/EepLcanBb+bpN1Y20csU6tFGo8ti5TYwxuKkHtV/VW5WTFc+uKp6jptprFnLaX9rDeWko2yW9xGJI3Gc4KkYPNfLvgHxdrOh/s0+E/GHj74qa/ca148sdJNn/ZunW5mjurmFXS1s4VibLupwWbOSrP8g6cPN+0F4+0Xw74w8Om+121lsPG+jaFHfa5a28mvW+n3tvFPPsig3RyzIDIY8K7bCCQWXFCws7tJ7BzH2vpOi6foNlHZ6ZY2+nWcedlvaQrFGuTk4VQAOavcV8ZTeNviD4O8A+K9Xt/E/izVbbX/Fun6H4el1qyt4L2GxkWMSS20cqxL5rSSTRo0/B8uM7f73svwHvfHzeIvFln4n0/XYPDMS2s2i3XiV7Rr5ncOLiJjbSOpRSsbKTg/vCOQBWdSg4pybHc7zWPir4K8O+JLXw7q3jHQdM8QXRjEGk3mpwRXUpc7UCxMwZtx4GByeldYMdRXzZ+1J4b0r4h2Mvwv8N6NYXPjLxZe2N7ql+lshOm2kEseb+5YAEsEh8qIFgzHABwpr6RQbVA9qipBRin1ZQ+iiiuYAqe1+6frVevC/il8UPi94X8aXdh4S8BQ63oaRxtFfOkkhkYqC33XGMHIwR2z3rvwVRUaqlJfdqRPY+hKK+Uf+F4ftB/9Estf/Aeb/47Sf8AC8f2hP8Aollr/wCA83/x2voPr8P5X9zOY+gPjF/ySXxr/wBgS9/9EPXnf7Fv/Jv+h/8AXe6/9HvXl/if4pfH3xV4b1XR7j4YQw2+o2stpJJHbzb1WRChK5lxnB4r2T9lfwrq/gz4L6PpetWMun6jHLcO9vMAGUNKzLkZ4yCDWNOp7fFRkk0knurDPYKKKK9oBG6V8IV94V8HL0oAWvcv2YR/peunH8Ef82rw2vdP2Yf9drp9ov8A2agD3yiiigBK+bPjd/ydF8Hvpcf1r6Tr5s+N3/J0Xwe+lx/WvOx38Neq/NAfSS1k+KdLOteG9T0/bv8AtVtJBt8zy87lI+9g469cH6Vrr0rJ8UaZLrXh3U7CCUQzXVtJCkhJAVmUgE47c12y1iwPN/AfjLxA1np2nfYfCU9vaPDY3VxpniDcIm4XCxCHhsAkIWBJGM969dH3cdK+bfDulazqmuSeHrHwxpPh+D7Vpc961nqts624s7gSsyRRfOTJtUDcq4zzX0mOlcmFd4sDxLxhrGqjxdB4ds/irBoGo+Tc3svnaXazR+X5yhIyXYbWVZFGOrAFq6r4U317I2sWN/41h8bXNrJGTcwWcNukO5chP3RIJ4yc8jI9a5nxvoPge1+MWmzeI/DugQwX2lXDvquqwR7bicSxYjy42bwuTub5sYC8bq6n4Z32hPqHiOw8M2+kRaLaTxeXJo0CRxGRowXVinyuwwDkdmA7VnBfvbt9bbvsB3dx/qX+hr5m/wCCf/8AySXW/wDsNyf+k8FfTNx/qX+hr5m/4J//APJJdb/7Dcn/AKTwUVP97p+j/QR9P0UUV6YwooooAKKKKACiiigAooooAKTaKWigBNoqhcaDp11/rbKB+/MYrQooAyR4U0gHI0+Ef8Bq5a6fa2K7be3jhH+woFWqKAGqoUAAYHtS9KWigAooooAKKKKACiiigBCoNJtHpTqKVk90Am0elG0elLRRyrsBXuFGz8arLVq6+7Vavk8y/jfI3hsFFFFeSaEcih1KnkMMEV5B4d/ZL+FPhXXNO1W08MPc3mmt5limqapeahBaPuDB4YLiZ442DKCGRQVxwRXr87+XE74ztBNfPa/tDeMtP+ENj8Ub/wAGabdeETbDUb+LS9Tke/tLP+OYRvCqSFB8zLvX5VbBJGD1Uo1GmoMWh2fjv9mf4c/EjWNY1LxBoEl5c6xbx22pRx6jdQW98sassRmgjlWOV0DsEkZS6cbSNoxt698GvCniTx1p3jG+sLg+IdPtls4rq31C5gV4Fk8wRSxRyLHMm/5tsisM49KyfEv7SXw48H6othq3iaK3lEdvLPNHbzS21ok+DC1zOiGO3DgggysmQQenNUo/2mPCC/Gy9+GUr6gmt28VqUlXTbl4ZZJjJhPMWIooARTvLBDvwDlWApe2avrp+QtCTwp+y/8ADbwR4i0TXNI0CWDUtDkmk0p5tTu7hNP81JElS3jklZIo2WWTMaKF5BxlVI6L4gfCDwx8TbrTrrXba+a709ZEtrrTdWu9OmjWTHmL5ltLGxVtq5Ukg7RxxWd4T/aE8AeOPFEXh7RdfF3qdwkslqr2k8UN6sZxI1tM6LHcBT1MTNgc9Oazvix8VtZ8JeOPB3g7QLLTTrPiZLt7e+1qd4rOM26oxj+QFnkYOSqAglUc/wANL965q71DQ0dU/Z/8B6z4H8PeEn0R7PQfD7pLpcGnX1zZS2rrG0YZZoZEl3FZHDEtlt7bskmoPFX7N/w+8aeIL7WdW0Saa71AwnUI4NTu7e21DySDF9qt4pViuNuAB5qNwAOlYnjv9pjQ/g7q3hXRPHUVxaa5rRbzU0exvL63gQLMQ4dITvyYcbAN43gkbRmt7xn+0Z8PPh7r8mja94jFlfwpDJdBLO4misllbbE1zLHGyW4Y9DKy569Kq1ZbX1DQ6q18EaLp/i668TwWXla1c2EOmS3KyPg20TyPHGEzsAVpZDkDPzcnAFcjpf7N/wAPtG8SWmt2ei3EV3Z3suo2kLapdvaWdxKzNLLBatKYYWcu+fLRc7m9aveJvjx4F8I+NNN8J6pryQ+I9SW2e00+K3lmklSeR44nGxCAhdGBckKvG4jIzFpf7QPgHWvGEXhiz13fqk1zLZwM1ncJa3FxECZIYbloxDLIoVsojlhsbj5TiV7VapMNDw3Tf2PdZtfEUEoi8L6ddReIW8QyeONOjmj125Zrtp5IWAARVdG8ogOU2k4QcV7Zcfs7+BLjxRc6+umX1nfXV/Hql1DYaxe2tlc3UbK6zTWkUywSvuRWJeM7iATmquqftOfDrR/FMHh651q8bU59R/siL7No97PA95/FAJ44WiLrg7hv+Xad2MGtK8+P3gLT/G8XhK48QrFrMl6mmrut5vs32x1LJam52eSJ2A4hL7zkYXkVcp15atMNDR+J3wn8MfGLRbTSPFdjcX9ja3cd9Atvf3Fm8c6Z2SCSCRGBXccc9aT4c/CPw38KVv18PLqqi+8vzhqWt3uo/c3bdn2maTZ9852YzxnOBjV8X3XiG306L/hGrTTru/eXa51S5eCGJNrHediMWO4KNvGcnkYrjfgT8VdU+J1j4pg1vTLfTtX8Na5PoVzJYyM9rdvFHE5mhLAMEPm4wc4KsMmoSqezeug9D1KiiiuQYlPj/wBYv1plPj/1i/Wuih/Fj6oT2Ln+NOpv+NOr7o5RKWiimAUUUUAFfOX7TP8AyNGk/wDXl/7O1fRtfOX7TX/I1aSP+nL/ANnagDxytrwP/wAjp4f/AOwhb/8Ao1axa2/A/wDyOnh//sIW/wD6MWgD7UX7opaRelLQAUUUUAFJt3dRS0UAN2L6UbR6U6ip5V2ATaPSoLoYjH1qxUF1/q/xrlxSXsZ+hS3K1FFFfEHSFI3PFLSNTA8ctf2S/hZa+KovEJ8NSXmoR30upRx6hql5d2kVzI5keVLWWZoVbedwKoNpAIxgY2fHP7PfgT4kaxd6nr+j3FxcXttHZ3qW+p3VrBfQxszRx3MMMqR3CqXbAlVsZ44rim+PnjK38A6147bwjpd74X0e9vo7uG01OT7eLW1nkilmRHiCMwWIvs3jI4znr1mtftNfDbw+llJe+JB5N1YQap59tZXFzFBaTDMU9xJFGy28bDkNKUGATng13fvk7ptsnQ29a+DfhTxB4g8O63d2N0mqeH0WLT7i01G5tisYdH8uQRSKJoy0UZKShlO0ZBrG0P8AZr+H3h3xFY61Y6JcLfafdzX1gs+q3k1vYzS7vNe3geUxQ797bhGqg55BwKqap+014N0b4w2fw6uZdQOsXUULRTQ6ZdS27PKUESiVIimCJFJk3bF5DMCDWvov7QHgPxB4uh8NWWvGTVbiWaC28yyuIra6kiz5scFw8YhmdcNlY3YjaeODUfvrdbBoXviJ8H/C/wAUpNKl8Q2d1Jd6W8kljeafqV1p9zAZFCyBZraSOQKwAyu7adq5HArMu/2efh7efD/RvBP/AAjqWvhzR7mO90+Cyup7aa1uYyStwlxG6zCbLOTJv3sXcsSWOafxo+Lmp+ANc8DeHtG06xl1XxdqE9hb3+sTtBYWrR27zASOoJaR9u1Ixgsd2D8vOP8AEP8AaW074JR+DrL4g2jW2s69fyWrrodvdX1vDGFmZZg6w5bIiT92BvHmEgFUZqqEariuV+gaG740/Zq+Hnj7UpL/AFrRJ5rqa0jsbuS21S7tRfQIQUjulilUXKjHSYP39TXRWXwq8LaX45g8YWmjxWviCDRV8PRXMLuiR6esvmrAsQbywA/IIXd2zjisPx1+0Z8PPhxe29r4i8RixuJbRL9o47O4nNvbOwVZrjy42+zxljgPLsHDc8HB4k/aN+HPhHxVpPhvUvFNsmt6vaQX+n2kEUs5ureaQxxSxmNWVlLK2SD8qjccLzU/vmra2DQin/Zr+Hdx4km1uXQpWu5dSGsmH+0rr7JHfeYshuo7bzfJjmZ0BaREDPukDEiRw3hutfsV6zquqa6sD+G9OvtV8Ry+If8AhP7RLiPxBbM955wiiwQqbYwsQKuE6sYyxJPvk/7QngG28bQeE5teMOszXv8AZke+zuBatebC/wBmF15fkedgH93v3ZGMZ4rN8YftRfDXwL4ibQ9W8QXC6il4mnMtlpN7eRrdOu9bcywwugl2/N5e7cByRitIzrx0s2FkW9V/Zz8Bav4qvPEM2lXlvqN9cQXV8lhq95aWt9LCwaN7i2imWGcgjnzEbI4ORXSfEb4beHvix4Xl8O+J7OW+0mWWKdoYbua1bzI3DxsJIXRwQyg8MOlYuqfHzwFonjZfCl54gWPWjcQ2jqLaZreG4mz5MEtwqGGOV8fLG7h23LgHcuep8U3GtW2jyPoFrY3ep7lVI9QuGhhUFhuZmVWPAycAc9MjrWV6t1zadrhoYXw8+D3hr4WzXr+H11ZWvAgm/tLXL7URhd23aLmaTZ94524zxnOBXcV5Z8F/ihrPjrWPG/h/xDp9ja614S1CDT7m60qV3tLsy2sVwHjDgMuBKFKnOCOpr1Os6impe/uUFFFFYAKn+sT6ir9UI/8AWJ9RV+vp8r/hy9TCe4lFLRXuGYlLRRQAUUUUAeA/tQf8fXh//cn/AJx14bXuP7UB/wBM8PD/AGJz+sdeHUAaPhv/AJGLSv8Ar6i/9DFfb9fEHhvP/CRaXj/n6i/9DFfb9ABRRRQAUUUUAN2L6UbF9KdRU8q7AJtHpSYHHFOpPSjlXYCjL/rWptPm/wBY1Nr4fEfxZep0rYKKKK5ijifid8I/C3xg0rTtO8VWNxe2+m3yalaG1v7mylhuFjkjWRZLeRHBCyyDGcfN06VR8JfALwB4H8I6r4Y0jw1ax6Pq8ckWpR3LyXMt8sgYOJ5pWaSXIZh87HAOBgACqvxs+KOqfDX/AIQe20fS7PVL/wAUeI4dAQX1y0EUG+3uJvNJVGJx9nxjH8XXiqOifGybTfHmteD/AB3YWPhvUrHSW16C8tr0z2l1YIwSaXc6IYzG5AZWGMMpBPOOyMavs/dehOlzc8EfA7wf8PNWk1TRbC8/tSS2+xtf6jql3qFwYPlIh8y5lkby1KAqmdqktgDc2cu3/Zp+H1r4XtPDltpV9a6TZah/adlHb61fRSWE+wxg2sqziS3QIWURxMqAMw2/MaTT/wBpr4e6tput3dpq94f7HtI7+6tpdHvYrn7PIxSOaOB4RJLGWBG+NWXjrWb4H/as8B+MvhXpXjn7VfWFjfyx2i2cmm3T3LXTRCXyIoliLzkKSd0SsuFY5wpw/wB9e7uGh3vgH4ceHvhfoj6R4Z05dM0+Sdrh4xK8heVgoaRmdizO20FmJyzEsckknlPDf7Mvw28I+J7TXtM8PPFfWc891ZQz6jdT2llLMSZHt7WSVoYGOTzGi4BIGASK7DwL8QNB+JXh5Na8Oagupae0skDP5bxPFLGxWSOSNwHjdWBBRgGHcV5z8JvjF4m+LWpanqVnpehWnhXT9XvtGurd7+VtWtpLaWSMvLEI9qMxRGEROQsituOQKUVV953t3DQ6i3+A/ga31LxXeJom4eKjI2tWUl3O9jes6osjtas5hDuEUM6oGbHJNZ/hn9mn4eeE7fVYbLRLmc6npZ0O4uNT1W8vpxYFSDaxyzyu8UWD9yNlGQpxlRjK+FP7VXgj4rN4sFrdXWlJ4anuhez6raTWsCW8DYa4aWVFRFxyVZtygEsBWv4W/aX+G/jK31abTPEyt/ZemnWLmK6tLi1l+whSxuo45Y1aWHA/1kYZeQM5Iyfvo3TuGho6t8D/AAVrnw80PwPd6MT4c0IWg0qGK7ninsTahRbvDcI4mjdAoXerhiCQSQxz5z4+/ZF8MX3hs2fhbR9NR7jXLTXNVtNenuruDWZLeFo41uGaQuSWMbs3PmFCZA+9s9fof7UXww8TeG9R1/SfFUWpaPYC3Mt1b2s7q7T48pIgI8zOWYJsjDMHyhAYEDQ079oDwBqngXVPF8HiFRoOl3bWF9LNbTQzW10rKht3t3QTLKWdAIym5i64B3DNRdaLur/8ENDz/wCG37LFlY6X45sfF+naMvh/xWLQt4N0Ezx6Vp0kKsGlgyylJXLITJGsZ/dIcZGa9Y8DfDDQ/h219JpA1KSe+KG4udW1e71KZ9gIUeZcyyMAAThQcDJ9a5rQv2mvhx4i0PxVrFtr01vp3hdlj1ebUtMu7L7LI2cRFZ4kLSZGPLUFssoxllz1PgX4l+H/AIlWt5PoF5NObOb7PdW91ZzWlxbybQwWSGZEkQlWVhuUZBBGRU1HVknzphocb4k/Zd+HfizxhrHim/07WItd1ZomvrjTvEepWKzmONY0JjguEThEUcL29c16nZW0djaw20W7yoUWNN7l22gYGWJJJ46k5NeN/Hj4veMfg1o+q+LBo2gXnhHS5raJ459QljvrpZpIYtyAR7EKvK4CknftHK7q9sXPGaip7Tli5O6KHUUUVzAFT2v3T9agqe1+6frXq5d/GM57Fiilor64wCiiigAooooAK+Dl6V9418H0AFe7fsvr82vH2i/9mrwmveP2Yf8AmP8A/bH/ANmoA94ooooASvmz43f8nRfB76XH9a+k6+bPjd/ydF8Hvpcf1rzsd/DXqvzQH0mvSsTxlbzXfhPWILbzhPJZzInkKGk3FCBtBIyfTmtmsrxQl7N4b1RdNJXUWtZBbMDg+YVO3B7HOK7ZaxYHzWV02103w2+k/BvxJoOu2F3Z3E2p2OkxpMojZTKvmLIGmEihoyH4IkJOSMV9IeFdefxNosOotpmoaO0hYfY9TiEU6YYj5lDEDOMjnoa8D8NzPa6hNovh3QvE9tc32oaTdPJqNtdBYTHOJLt5JpTjBRSMKxDZwM5r6WC8VwYRbtMDx/42eIpobxdGeLShp39nS3839r2ouEuisiKIUViFyN24k5OCuB1I6/wRqtpNqWsaXpa2K6Xp624hTT0VUiZ0LMh28ZHyntwwrnvijcXHiTxJYeC4dB0fUvtlhNqJuPEETSWuIpYkMaqoyz5kVuowMdc10Pw38N6h4V0d9Ou7LQdOt433W9v4fgeGFQeWyrHqTnpVRu67a2A624/1L/Q18zf8E/8A/kkut/8AYbk/9J4K+mbj/Uv9DXzN/wAE/wD/AJJLrf8A2G5P/SeCpqf73D0f6CPp+iiivTGFFFFABRRRQAUUUUAFFFFABRRRQAUUUUAFFFFABRRRQAUUUUAFFFFABRRRQAUUUUAFFFFAEF1/q6q5q+yg9RmmiMegrx8VgHiJ86lY0jKyKXFHFX/LX+7R5a/3a4/7Kf8AN+BXtDKuVMlvIo5LKQK+Q7Gz+JPib9mdPg5pfw51TR9XvdHbQL3XPEDwR6fbQSAxTypsmMkjeWzlAF64J6YP2fsHpxRsX0rop5fKmrcyYuc+IP2hPhj4/wBc8JfEHwHpml+KtU0WPRLWw8JWuk3FvDp8kSWqrILqQsJHkEiP8r/Lgpt5Jx7NqEfiTwr8etU1Kz8L32rWWv8Ah2wsLfUbcxm2tLq3muiy3JLB1Ui4Rtyq3Ct3wD715a+lHlr6Ctvqc2rXX3C5j4f8H/D34l+JvjZ8DPFfifTfFM2oeH59VPia51ia2FjBNNYTRKbSOFgPJMnCsFyVaPd82ce+fHrT9G8QaLaaP4j+GV98SNGuizPHZ28E/wBlkXBUlZJEYE5OGT0IOM17J5Y9BRsHoKiWClKSk2tA5j5P0Xwn488C+Afhdfapo2teKbrQvEd7eyadHOlzqFrp80F5HaxyO8mJZIlmhRzvYk5OTjNSeItN8WeG4vjD4bt/h3f+KJfGN1Jc6bqsUsH2aZbi1jgEd07ENGIShH3X+RVxk/LX1X5Y9KXyx6U/qc921/TuHMfPnwx+F+r+DfjdNfXlvJd6bb+AtG0NNWkIPn3EFxdmVc5znDxse3zVweleG/iJ4k8eeEb3xLp/iu41PTfFE1xdvJNBFo1tZqLhIWhjR/3hKPGNxBbJJbHSvr/y19KPLX0FCwdS/M5L7g5j4J8HyWliul+L9dj8VXfw/X4g3ep6WLNNPOnm9udQuLeC4JBF2Yt9xnaRwxJOVwK6Hwv8CpdPt9Y8E+MPDnjrW7e58VXGorfaXq+NOvopdRN5BdSgSJ5bxkxl1wTuiyN2QK+kLL9nX4Xad43k8X2vw98NweJ3lNwdVj0yIT+cWLNKG28SEsSXHzHPJr0Xy19K1lhZfZkLmPNPjJaabqngi40zWfBd5480e+ljiu9Js44pGKhgwdkkdNyqyqcAk9OK4X9lnwHqvgW38ZRrodx4R8F3eqLN4c8M3jq8tjD5SiZvlZgiyS7mEefl5P8AFivoXYPSjy19K5Fl0uRx5tyufUofjR+NX/LX0o8tfSsv7Kf8w/aFHNOiP7xfrVzy19KPLHpWlPLXCalzbC5xf8adRRXvmQUUUUAFFFFABXzl+01/yNGk/wDXmf8A0Nq+ja4/xh8MtE8cX0FzqiTtLDH5aeVJsGMk/wAzQB8f1teB/wDkdNA/7CFv/wCjFr6J/wCGefCH/PK8/wDAg/4VY034F+FtJ1C1vbeK6E1tKs0e6ckblIIyMeooA9EX7opaRelLQAUUUUAFFFFABRRRQA30NQ3X+r/Gp1pGUN1FY1oe0puHcaKGfejPvV/y19KPLX0rwv7Jf8/4GvtChxRxV/y19KPLX0o/sp/zfgHtD44ih+Il18H/ABt8L9J+HWqwavrV3rNpHruqvbxaXHBd3Ux84sJjKw8qUsAqE5AyKZ8SPhj4w0fw5qHw90mz8X6p4T03wla6N4ct9Dnt4IZpUt2hcXcpZWPCx/KflxnAJOK+yfLHpR5Y9K7FhJp7onmPBHt9f8L/ABO8FX48Malq1hN4eXR7m6s/LK2M5miO6YM4IQDcSyg8IeM4B8v0/wAF/EPxX8S/hlq3iHTvFc2paH4kubvV5r+eBNKghNvdRRm2jjYbgTImG279p+fBOK+y/LX0o8tfSksHPXVfcHMeR/HCOw1Tw7Do2ufDi8+I3h+/ZlurWzit5vs7KAUZo5ZEJzlgGTlSOcZzXhWh/Dn4jeEfhv4Gvr/RtY8QLofxGn1600KS8W61Ow0OSG7ggheSSQiSWMXCMwEjcEjJxivtHyx6UeWv90UqeDnTjyqSDmPlryvFnw1+I3xZ1CP4aX3jC38bvZ3+m3FlJByyWMNsbO9MjDykR0LBgHG2Rz1G04XwP+Afin4a/tBeC7zVLWTUNH0X4S2/h2bWZGV0OoLf+Y0IJO7hCcHGNv5V9g7F9OaXYvpzR9TqWa5lqHMj498XeGPiR4u8UXS6xpnii6ubXxpa3Filpcww6LFpMOoxPDKUD7pZPJG5sgsGBOAAK8zt5NO8MW3izx74ntvEz/DSw+J91rzLo32D7A95HqQghuW3sLwqsyoXRcgyI20FCFr9DvLX0rzpv2c/hY3jT/hLz8O/DJ8T+f8Aa/7V/suHz/tG/wAzz923/W7/AJvM+9nnNaxwkkrXFzHzdN8CTeSeOfBnjXwj421zR9e8RXGoJPoOsBNOv4J7kSo8y+bH5UkRChgQeI1Ks2do+lvipb2V54E1Ky1Lwrc+M9MuVWC50WzSN3njLDPyu6AgdcZzxxmu/wDLX+6KXy19KxngZTablsPmR85/syfD+78D6140fSvC914D8AXktu2k+Gr0oJIrhVYXM6oruI0k/d4XPJVmwN1e/cVe8tfSjyx6VjUy2VSXM5DUyjx60nFX/LWjy1rP+yn/ADj9oUo/vr9avYo8tfSlr1MLhnh4uLd7mcpcwtFFFegSFFFFABRRRQB8+/tPt/xMtAHpFMf1WvEa+w/GXw20bx1Nby6oszNbqyx+VLsGDjOePauf/wCGefCX/PO8/wDAg/4UAfNnhw/8VDpf/X1F/wChivuCvNrX4CeFLO6huIo7vzYXWRczkjIOR2r0haAFooooAKKKKACiiigAooooAoy/6w0zNXmjB5IzR5a+g/KvAqZY6k3Pm3Neco8etHFXvLWjy1rL+yX/ADj9ofP/AO1Lo+vXn/CrNW0Lw9qHiY+H/Gltq17Z6YIzOLdbO8jZwHZQcNKg6/xVz174e+IHjbxt4l+KGneHLnwrrFh4MutC8M6Xqs0ElxPdSyec0k8aMyKoeGAKN/OX3AcV9QeWPSl8segrpjgZxikpInmPmf4P+F/ER+J667qNh4t+zt4fltJ73xTcRMXumlhcpFEjHy1GG6AA446VheFbbx/pHwB+G3h0eHvFGgzaJNBpHiGHSjb/AGyW3itXBkt2Ln92ZvK+dSHwGwK+tPLHpS+WPStHg5t6tBzHhv7MvhLV/CPhTxLDrGnajp0l94ivNQgi1a4W4umhl2FGkdWYFjznk4IIrzTxd4P8QeO/i94O8QeFPh1rXw+8W2evWs3iLxBNcwQWl9pcRbz4HaGR/tRkU7Y9yZGckpivrzy1/uil8sf3RWawM4ycuZahzHxl4k+FvjXxN8Lfjh4Aj8I79R1TxNceINKuNSkQabqkBu7e5WEupLKzhHQqygAjkgc1b+K/g/xf8fvE1v4htPCGteFLbw/4O8Q2Cwao0KTand39rHFFbBEkb5EKMxYnbu249a+wvLX0oMa+laLCTTumri5j5Yj8N/EbwF+yZ8I/D/hTS59P1uxs9EsfEtvYrF9utbRYFF6bYMfLNwHGMnPVyPmwa8V8WfDbxRp+o69PJofiGOTXviR4bvtBl1a7gl1Vzb2Cl54mdnh3oYX+Wb5dispAbGP0R8sf3a5/xp4A8NfEbRW0fxT4e03xJpRcSfY9UtEuIg4BAcK4IDDJww5GTiqjhZpu7Wocx8d6hodz400Lxt4S0+x8Saz4+8PeKdH8V+I7XU7m0gvLtHjURm0e1fyUcRWw2IWU5jG4jcGPufwP8F6ZpHiLxT4ittB8V6Xqmqx2lvd3viq786W6WESGMIPMcgJ5rjJAzkYzivSfAfwv8I/C3STpfhHw1pnhrT2fzHt9LtUgWR9oXe+0De2FUbmyeBzXUeWvpUVMFKacVLQfMfJn7T3w5tfiJqWqHTPhRq2ofEi2to4fDnjaBoIorO4GZLefz/ODIkUrZZSmThgAwPP0pocN7b6LYRalKk+opbxrczR/deUKA7DgcFsnpW/5a+lHlr6VlLLpSgoc2w+co/lScVf8tf7o/Kjy19BWP9kv+YftCjkVYtfun61KYx6U5VCjgYrrwuAeHnzuVyZSuh1FFFewZhRRRQAUUUUAFfB9fdzfd9K80/4Z58I/88rwf9vB/wAKAPlyveP2YPu6/wDWH/2aur/4Z58Jf887z/wIP+FdL4M+H2k+BftQ0tZl+0lTJ5sm7pnGPzNAHUUUUUAJXzZ8bv8Ak6L4PfS4/rX0nXzZ8bv+Tovg99Lj+tedjv4a9V+aA+ka4n4leGbvUtJvdSsdU1i1vLSzkaG0026MSzOAWUEAckniu4XpWR4q1C40nwzqt7aRrLdW9rLNFGxwGdUJAJ+orrmlKDuB896f4u0uR/CR0H4k6z4g19tRtI7rR5Znk+0IZUS4DxqFMexWZ8k4+QggjNfTa/dFeU+DdeTVbbRrmb4jaffXNwIna3t4raMTM2CUVeWGemM55r1Vegrlwq91u/8AX3geTfFq+tr3xNpWh2vhFvF/iJbWTUYIZr77FDBCrrEz+Yc/NmXAAUnBOSB13vhXZanZ6ferqXhOHwm5lBSGHVTfiUY+9u2rtx0xXP8AxdWyuvE2hwW8PiG/8TrbzSWtp4euktnWDKiR5ZXKhUJ2Lgty23AJXI3PhVdJJa6jbO3iCLULeZVuLPxDcLNNCSuVKMpZSjDkFSeh6dKUbe3dwO7uP9S/0NfM3/BP/wD5JLrf/Ybk/wDSeCvpm4/1L/Q18zf8E/8A/kkut/8AYbk/9J4Kmp/vcPR/oI+n6KKK9MY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CV82fG7/k6L4PfS4/rX0nXzZ8bv+Tovg99Lj+tedjv4a9V+aA+kax9bg1S6ngjtDZHT3imS6juo2ZnJX93twcYzncCDkHitpelcx8QdZ1bQ/C99c6Jpk+p6iInEUduU3I2xiHw33sED5RknPSuybSi2wOW0r4cX9jqVlO+j+DY1hmSQyW2lskqgMDlGzw3HB7HFeodFrzNfEnjfWbPTYLbwzcaTctPatcXl5cQMghEqGcFASctGJFAABBPUV6XyVrChy2fJf5geb32kv431xfFHhjU5NI1bS2udHea7tBLb3kYcb0ZCQ2FlTIZSpyrDkGrnw7tpYNZ8ULqOpz6nriXMKXTPai3hRPKVo1hUE5j+ZuSxOdwPSs+20Txx4L1DUotGTSde0S6upbu3hvrmS2uLZpXLyKWCOrpuYkcAjNbXgHw3rekyapqfiS9tbrWtTlRnisFZba3jRdqRpu+Y92JPdjgACs4q9RNp369vkB11x/qX+hr5m/4J/wD/ACSXW/8AsNyf+k8FfTNx/qX+hr5m/wCCf/8AySXW/wDsNyf+k8FRU/3un6P9BH0/RRRXpjCiiigAooooAKKKKACiiigAooooAKKKKACiiigAooooAKKKKACiiigAooooAKKKKACiiigAooooAKKKKACiiigAooooAKKKKACiiigAooooAKKKKACiiigAooooAKKKKACiiigAooooAKKKKACiiigAooooAKKKKACiiigAooooAKKKKACiiigAooooAKKKKACiiigBvWsrxF4k03wnp5vtVu47K1DBDJIeMnoK1q8b/ar/AOSWv/1+Q/zNbUKaq1IwezZz4io6VKU1ukdXY/GnwTqFzHbweJLJpZDhVZyoJ+pAFdVqWsWejafLf3tzFa2cS7nmlYBVH1rxq4+FXhjWPgfaXbaPaW9+NGju/tltCscxlEAbczAAtk5znOc1wNjp/iH4l/s3x2tl5l9PpeonEKuxkmgRSdgyfmI8wEL6LgcgCu5YWjUtKMmknZ38zznjK1P3ZRTbV1Y9/wBB+LfhLxNqSWGm63b3N4+dkS5BbAycZHPAzVVvjr4DUkHxJZ8f73+Fec/CTxx4K13VdK0u88O2/h7xRYjZDugEW9thVgrAA5IZjtb14zVD9qTwfoXh7wbplxpmjafp9xJqCo8trbJGzL5chwSoGRkA49qtYWn7dUZpq/oJ4qt7D2sGnbfc9dh+MXg64sbm9i163e1tiizSDdhC2dueO+D+VdBfeI9N03Q21e5vIotMWMTG6Zvk2HGDn3yPzrgfiR8N9G/4Vb4itdJ0ezsJprYTN9jgSEyNEfMXcQBnBB6+p9a8n1zxlJr37OnhjRoWSW/vrqPS2gjBLFYn4AH944h+u73rOnhqdZJwb+Kzv27lVMZUo3VRK9rq3fsfS+g+IdP8TaZHqGmXKXdlJu2TR5wcEg/qDUPhnxbpPi+0mudHvo7+CGQxPJFnAYAHHPsRXz18LfFk3gD4d/EXSJnkS60KWRrZnO4hpAY1AXsA6gn/AHzXqP7PPh/+wvhZpO5dst2rXT/Lg/Mcj68YqcRhVQU5X2aS8+pph8XKtKMbbpt+Wp0/iX4ieHfB1xFBrWqwafNKm9ElzllzjPA9ad4Z+IHh3xfJImjatb6hLEMukTfMB64POK8J/aPurWw+K/g65vrRr+zijV5bVYxIZUEvKhTw2R2NVvh9faJrXx+t7/SLP/hELKOzKx6bNH5D3jlWBxGvyL1zgHnZnqTjdYGDoKprdpvy32MJY6arunpZNLzPqINmjcOleSeKNT+IK6xfi11Xw9oljHk2cN4d00wBwC3OFB55GenSsWx+OWq3PwOvvFf2SF9XtZhbFVQ+VuLqA+M9MN61xxwlSUVKLTu0vvOx4yCk4tNWTf3HumQaXPtXmXw81zxFqBF/qHiHRdc0drUyu2nxlZIZcj5eCcrgPycHIHFcJp/xb8X+NbHXtb0XU9F0uysZWS0sbpMy3G1QxySwxlSMcdeOOtOOEqSlJXVl6kyx1OMVJp69D6J3Vzninx/4f8GiMazqtvYNMCUSRvmYDuAOce9UfhT43b4h+CLDWpYhBNLuSRF6blYqSPY4rxv46aPqOgfFbS/F9xobeINAghVXhK+ZGpAZSGGDtPzBgSMZA9KdDDqdZ0puzV/m10HXxLhRVWmrp2+59T3fwt420Xxpbyz6LqEOoRQsFkMZOVJGQCDW7u2jpXiOm+NtEvPh74i134cWVnp+qwRrPdWcluIz8mSSyLwTt3EFc5PGcjATxF8crq2+Cul+JrD7O2r3rpbBGQlfOyRIAvf7polhJylaKtrbXdepMcZCMbyd9L6bP0PcN1V7u8gsbd57mZIIE+9JKwVRk45Jrw7xR8VPE9j400Dwo91p+g3E9lHLeaneQ74jMUJIjywGNw2jnqar/Gs+MZPg3O+o3mkXVt5o+2TWgf8AexedH5DRjGAd33ucY6E044OXPCMpJcwSx0OWUoxb5T3uG4iuIlljdXjYZV1OQR6g1LuFeCeE/G3iH4d/Bca3rjafdWa2Vsuj29vuDncpAWUkcnG0nHo1UdQ+LPjHwv4d0vxPf6lo2qWd08ZudKtkCywRuMjDBiSce3Bp/UqkpNRaavZebJ+v00k5J3td+SPon8aNwrxf4n/FDxNoHxC0HQfD1vaXf9p2u5I5x/y0JcK24HhRgE+wNc/D8SPijp/jWbwbc2mk32szxiW3uowywRoRkyHOCVHIxjOQcZpQwNScVK6Wl9X06lSx9OLas3Z20XU+ic0ccV458IfiN4m1jxjrvhfxTHaNf6cnmCa0BVT8wGOeoO4EHj6V7GO1clWk6MuWR2Ua0a0eaI6iiiszYKKKKACiiigAooooAKKKKACiiigAooooAKKKKACiiigAooooAKKKKACiiigAooooAKKKKACiiigAooooAKKKKACiiigAooooAKKKKAEr5s+N3/J0Xwe+lx/WvpOvmz43f8nRfB76XH9a87Hfw16r80B9Jr0rF8YSXcXhTWHsJGhvVs5jBIiFyrhDtIA6nOK2l6VkeLLy70/w1qtzYIHvYbWWSBSM5cISvHfmu2XwsDwrwTqHg+61LQnMnxGTVJJ4D5d9/aghExZeJM/u9m7rn5cZ7V9F/wAPy18/3mteJfDviLSIX8Y6xq0l0+lywWTafbiO8Sa48u5XesI2hEw5+YEDqea+gV6VyYbZoDyTxJ4k8XeD4Ypdc8Z+C9JjmJERutPnTfjGdubnnGR09RXRfDPxZL4ssbyaTxDofiIxShRLocLxxx5GcNukfJ79RWN8UPDujtq0+raxr9losV1olxpCNfOq7XeSN1kTcQOCDuHf5emOXfBe6m1Jdc1G51Lw9fXFxNErx+HLgzQLsjCh3YgfvGGB06IvJ7RDmjW5b6eoHpdx/qX+hr5m/wCCf/8AySXW/wDsNyf+k8FfTNx/qX+hr5m/4J//APJJdb/7Dcn/AKTwUqn+9w9H+gj6fooor0xhRRRQAUUUUAFFFFABRRRQAUUUUAFFFFABRRRQAUUUUAFFFFABRRRQAUUUUAFFFFABRRRQAUUUUAFFFFABRRRQAUUUUAFFFFABRRRQAUUUUAFFFFABRRRQAUUUUAFFFFABRRRQAUUUUAFFFFABRRRQAUUUUAFFFFABRRRQAUUUUAFFFFABRRRQAUUUUAFFFFABRRRQA2vL/wBobwzqfi74eyWOkWj3t59oikEUZAO0E5PJFeon0pMDFaUajozU1uncyrU1Wg4PqfPEV58UNW8CweE7XwcmmRizj099RuLxeECBGbb15APTPXvXT6T4X8RfBnwDpll4b06HxJcpM8uoxl/Kd9wJzHk44wo7kgdOePX+1L+prpli3JcqilG92tdfU444NRfM5Nu1k+3ofOjaF4k+L3xH8Oa5P4Ym8LafpEyzS3F6Ns05V1YLtwD1XAOMYY89q6j9pTwfrPjHwdptnotjJqFzHfrI0cZUEL5bjPJGBkj869i246UA0PFy54zSSUdkOODioSg225bsrSW63FkYZVDI6bHRuQQRgg18xfD/AODvijT/AIl2NnqVhIPDGlajNfRXGVVXfA8txg55KR8egOa+pzSbetRRxMqMZxivi/rQuthYVpQlL7J8u/Fr4SeK7/4hasdA08yaXrghMs6sAkbAru35OfvLu6Hg8dK+ldJ06HR9MtbK2TZBbRLDGuc4VQAB+QFXdvtmlx3orYmdaEIS+z+PqFHCwoTlUjvI8G+NvhfxHdfErwpr2j6LNq1vpqrJIsTKuWWTdt5PGRUU3hPxh8UfiJ4e1vWNCTwvp+jSrMpkmWWWfDq4X5TxyoHPTJ69K99wG7Uc+tbRxsowjBRV0mr+TMZYGMpuTk7Np280fMjeD9c0v4jeI5tc8Ey+NJdRf/iW3UxU20KAsfmJyqdUHOCNpx1NdJ8MfDviDwH8JtRtr7wu2qXRvWMmlu6ZlhO0MR1B4ycd8V7xtpoU0TxspR5XFdO/T8vkKOBjGTlzPr+J87fDDwLqV78RLjXdO8O3Xgvw9LZyQTWN2SGmkbcPlQ8qoJU9APlGOtYfhnwXd/DOS90jW/hr/wAJgJbovaalBAk2UIAwxIOwcZ5xyxr6lo28dMVX1+bbutGl1fTz3F/Z8ElZ6q/4+RzngKzay8L2qNocPh1mLMdNt9u2LLH+7xk9Tj1rlvG3jzxZ4V1yaKLwbNr+iyKPJuLElpAxGCrpgnGc84AxXp36U09MVxRqJTcpK9/U7JUm4KEXax4n8DPh5rGjav4m1/WdOj0hdXcmLTVYMY1LM2OOAPmwB7dq8y8FeC7v/hdUfhGRi2kaPqEuqrGpyvRNhOCcfdj4PuO5r65I+UiuK8HfC3S/BfiHWNat7i6vNQ1Rt00t06ttyxYhcKMAnHXPQV6NPHP95Ke7Vl+X5Hn1MArU4w2Tu3+JyXxjkmvriWx1D4e3HiewZFSzvrJg0qOQd2cDdHg456VhaP8AC3xMP2edX8O3cWNWuJBPb2byhiirJG4jznAJ2NxnHIz3r39h+VG32rmji5QgopbNP7jplhIym5N7pr7z58s/C/iD4kfBlvC93oU2iXulRwR2sl4douZI9ytxjIGO/TLelZ+h2c0Nhb6NN8ForrWreFY5LqeCJbeRgACxlK4OepwSa+k8dulLtHXvV/XHZq2jd93v95H1GN4yvqlbZbHjfjbwjq+pfHLwdq9rYSSaZZwbZ7hcbYzl+Dz7ir954X1ST9oay1xbORtJTSTA11kbBJub5euc8j869WA6UYFZfWp2StsmvvNPqcLt33af3HkPhHwrq2n/AB48V6zPZSR6ZdWyLDcHG1z8nA5/2T+Veu0Yp341jVquq030SX3HRRoqimk73bf3i0UUVkbhRRRQAUUUUAFFFFABRRRQAUUUUAFFFFABRRRQAUUUUAFFFFABRRRQAUUUUAFFFFABRRRQAUUUUAFFFFABRRRQAUUUUAFFFFABRRRQAlfNnxu/5Oi+D30uP619J182fG7/AJOi+D30uP6152O/hr1X5oD6RrhviZpusrpN7rGleJtS0j7DZSS/YrOC1kWZlBbJM0TkE8DggV3a9KzPEmoTaX4f1K9tbc3lzbW0ksduOsjKpIX8SMV1zipQaYHhC+Mr/T7bwdqFt8XY/ElxfalZW8+kxJp4N2ssyRyLHsi3rs35bvhSMqSCPopeleS+CPC+u3DaXr6XngyNrkJcStpfh5w7I2C6pP8Aac5IJG4r77T0r1oZrmwqdmwPK/HGi3M3xS0bVdOttN1fUItJuLeTTNQvVjPktLG3nRpsY5DKFLYwQ+OoGez8JpqC28/27RrLRn3/ACpZTiVXGOpOxcH864X4vSaNpPiLRtXu9e1rR9WhhkjiXQbWOaVoC6CRpd0LkRBjHnJC5wetdp4TiazuNQsZte1DXLmFo2dtQjhUxqy5Xb5UaAg4PXPIpU/48v8Agf8ADgdFcf6l/oa+Zv8Agn//AMkl1v8A7Dcn/pPBX0zcf6l/oa+Zv+Cf/wDySXW/+w3J/wCk8FRU/wB7h6P9BH0/RRRXpjCiikZgvJOKAE206mLIr8qwI9qdkUCvcWiiigYUm6jdUbTxq2Cyg+5oE2luS0UmQaWgYUUUUAFFFFABRRRQAUUUUAFFFFABRRRQAUUUUAFFFFABRRRQAUUUUAFFFFABRRRQAUUUUAFFFFABRRRQAUUUUAFFFFABRRRQAUUUUAFFFFABRRRQAUUUUAFFFFABRRRQAUUUUAFFFFABRRRQAUUUUAFFFFABRRRQAUUUUAFFFFABRRRQAUUUUAFJS0UAMLAdaXrXAfGjxJN4d8HhbW4e0vdRu4dPgmjOGRpGwzA9iEDke4rcg8T20GuT6EfPe5s7KO7kkYAqyMWUc5yWyh/MVp7KXIpf1oYOtFTcH5fidJSGvOr741aRZ6foV0mn6peNrVvJcWdtaWwlmcJtypUN97D59ODz67/hHx1ZeNNGuL+xhuYzbyPDNa3EYWeOReqMuThunHvQ6U0uZrQI1qcnyp6nT0V5L4N+OK61H4im1bSb7SbTSZLhjdS2xWJY42AEbnP+u5+4PQ1u+F/i1YeJ9ai0p9M1bR7ueEz266paiEToMZKHcc4yDVSoVI3utiY4inK1nud2fpQSK8r+J/xIl0PxVpfhu21W30OS6tpLq41C4jEnlxjIQIDwWJDdQfu9DVLVfHupXl34S8PaFr1ndXusCeSXWY4VcLFGpIKpnbuOCOeAVPHNWsNNxUuj1+X9IzliqcZOPVHsW4NSZrz34U+M9Q8UWuvWOqyQyano9/LYvPBGUWUKSFfaScE4PGa56x+L19Y+AvGV3qxgGuaBczWu2NchmJxAxUH7pY44PRSan2E+ZxW6t+JX1mHKpPZ3/A9jzRu614NcfEjxQnijTNC1bVbXwvJLp8Nyt5dWeUuLhgCYjuYBQCSuODlOuTitn4oeKvF3gmz0q9tdU02aC/vILERtZsdrOhLOG38jKkgeh61p9VlzJXWu25n9bhyyaT0PX9wpc4rzWLxVrXh34gaLoetXlnc2+oafPIskUBjLTxuWwMsePLPT/ZJrjfDnx21O60Hxxd6msEU2m263mm7UP7yKTcIiwzyMmPP+9RHC1JLmWq0/F2B4ynFpS0ev5XPe93SjNebaP8UpYZdO0a+0vUtS177Jbz3/ANgtlMds0uOGy46E84zwCexq3oOuXFv8VvEehXF680UtrBqNrC5J8pSDHIq+25Q31esvYyV79NTVYiErW6u3od/T6b/DTqxOoKKKKACiiigAooooAKKKKACiiigAooooAKKKKACiiigAooooAKKKKACiiigAooooAKKKKACiiigAooooAKKKKACiiigAooooAKKKKACiiigAooooAKKKKAEr5s+N3/J0Xwe+lx/WvpOvmz43f8nRfB76XH9a87Hfw16r80B9Jr0qhrFs15pV5AIIboyxPH5M5xHJkEbWODgHoeDV7sa4L4leLtc8N2sq2PhC81/TjbPJc3lrqcFn5AAORl3VgcDOV6Z65rrnJRi2wPMm8BjwLq2h6nffDTwTaWn9qWsJvrC6meS0Z5VWOQKbcc72UDH8TDOBlh9FjNfM+kybtS8K6lrHw38URWM2o2ptbzWvFb3UNrK7ARyvDJOwBBPAZc7ioHzFRX0x6VyYS1pWEeQ/FDRU8T+LI9P0fX7fSfE8+kzJLb3lq00FxZiROpBGxlkZSCGzhjlT26T4f200Ora6dR1q31bXGMH2n7HbmGG3j2ny41BZif4iSTnntXA/GXw74T8IeLIPG+t+FrHWbCS2e0vlHkmbezoVmELgecw2BOG3ANwG5x13wVubHVPD8+p6T4Y0/wAMaNfSLNZw2Ri82ZMcSTCP5VYjHy5JAOCc8VMP47T3+Yz0W4/1L/Q18zf8E/8A/kkut/8AYbk/9J4K+mbj/Uv9DXzN/wAE/wD/AJJLrf8A2G5P/SeCip/vdP0f6CPp+iikyK9MY1m2jOeKwb69a6kYBsRjoPWr+rXBjhCKcFzisauujD7TPncyxLT9lH5j4Zmt3BViOenrXQWtwtxGHXvXOVe0m4McpjJ4bkfWrrQuro5svxLhU9nJ6M3aKTIpkjBFLHgAZNcJ9WUtSvvs67V++3T/ABrEclmyxyfepLiU3EzSHv0+lMr0adNRR8VjMTKvUdnoti7p980Mgjc5Q8D2rbUhveuXrb0y6M1uAfvL1rGtBL3kerluKcv3U36GhRSL0pa5D6AKKKKACiiigAooooAKKKKACiiigAooooAKKKKACiiigAooooAKKKKACiiigAooooAKKKKACiiigAooooAKKKKACiiigAooooAKKKKACiiigAooooAKKKKACiiigAooooAKKKKACiiigAooooAKKKKACiiigAooooAKKKKACiiigAooooAKKKKAPMP2gNJ+2eCbfUPm26PqFvqTqvdEYh/yV2P4UniDw94mm8YSa34f/s6W11HTEsn+2s4MRVnZXAUfMPn6ZH1r01lDDkZFCqAMCuiNeUYqKW1/xt/kck8PGcnJve34Hgd3oOueFdY+GOmWgtJdWsdPvI2jmc+U+Fhyu4DIz64/CvRPhb4Q1Dwppuqy6q8Lahql/LqE0dvkxxF8AICeTgAcmu3ZFZlJGSOlO4JqqmJlUjytev33Jp4aNOXNf0+48YuPhPreoaX420C4ktU0rWbyTUba8ikbzVlaVZFRkxjaCvJz9K09E8F+ItX8YaFrXiKCxsV0O2khto7KdpTNI67WdsqMDA+7z1616p9etHWl9Yna39bWBYWCaf8AW9zzTx14G1S58baT4r0W3s729tbWSzls72Uxo6EkqysFOCCzdu4rmbH4N654bj8N6vp8mn3mvaZPdTT27gwwyrP1RWAO0KCccHrXuJwtJTjiqkYqC2X5a/5hLCU5ScnuzhfhX4IvPCFhqlxqj276tq19Jf3X2UHy42c52KTyQMnk+tct4u+D1/rnxMg1S3miXw/eSW9xqlvI2WklgJ2YXGCpG0HP+1617LR+lRGvOMnNbsqWGpygoPZHmPxJ8OeJvFMd9pNvpui3el3UYjhurx3EtsSMMxXB3HPIwV7ZzUHjL4Xahq3gjwfodjcxzyaPeWck085Kb44o2VmA55ORxXqh+lHOaFWlFK3QPq0G231PNPjN4D1rxdp+lz+HrmO01ixmfZJI20COSMo/ODzg/qa5jxR8C7/UdW8LCxnhi0y3s4LDVYCxUSwxSLIAoA53HcOT2Fe5/rSfjVwxNSEVFdL/AIkzwlOpJyl1t+B5R8Qvh/qniXxPa3OnWNjYywvE0euR3Tx3ESqwLI0YXEgwCBk4GaseHbFNS+N/iLVl8zGm6dBpm/I2s7HzW/IFP1r0/aKRUVTwMUvby5eXysP6vHm5l3uL96nUUVzHYFFFFABRRRQAUUUUAFFFFABRRRQAUUUUAFFFFABRRRQAUUUUAFFFFABRRRQAUUUUAFFFFABRRRQAUUUUAFFFFABRRRQAUUUUAFFFFABRRRQAUUUUAFFFFACV82fG7/k6L4PfS4/rX0nXzZ8bv+Tovg99Lj+tedjv4a9V+aA+kazfFENhN4d1OPUzt05raQXJ9I9p3fpmtRelcp8QvEmhaHobW2vXLRW+p7rKOGGNpJZmZGJVEUFidoJ4HGK7JtKLbA8g0GE6ktm+teJ/Fl34d0y+0wwaPqlja28jNJMi2jzSIBI6CQISGwcqCwODX0V6V806Ra2OoeMtNjufiNP4tsL6WxnTR9N0gGXbDLvtWuZUJ2IpwWyqZIGfSvpb+GuTC7MDyD4q+IH0rxdavpuk6Tda5Y6Y+ofbNW3MYrcTIjJCinO5ixy2QBhM5yBXX+E47C18TeIray0+3s3/ANHnme2481nQ8svQMNvXuCKu+LvAui+NreGHWLFboRbvKkDFJI9ww211IYZHUA84HpVnw34U0vwpbzxaXaLbCd/NmfcXeV8AbmZiSxwByTWipzVXm6Aatx/qX/3TXzN/wT//AOSS63/2G5P/AEngr6ZuD+5f/dNfM3/BP/8A5JLrn/Ybk/8ASeCsKv8AvVP0f6C6n08BSe1FMmkEcZJ6AZr0wbsrmDqM3nXTf3V+UVXoZtzFu5pK9WK5UkfA1qjq1HJ9RadG5SRXHVTmm0VTVzOMnFpo6aKQSRqwPBGap6tN5dvtHV+KXSZhJagd14qhqkm+429lFefCH7yx9biMR/svOuqKdFFFeifIBVvS7jybnaT8rcfjVSlVjGwYdjms5x5otHRh6jp1IzXQ6lelLUULhoww5BGakWvLPvE7q4tFFFAwooooAKKKKACiikagBab+FJnFRG8h/wCeyf8AfQrKdSFP43YaTexPu9qN3tUH2uH/AJ6p/wB9Cj7ZD/z1T/voVn9Yo/zr7yuWXYn3e1G72qD7ZD/z1T/voUfbIf8Anqn/AH0KPrFH+dfeHLLsT7vajd7VB9sh/wCeqf8AfQo+2Q/89U/76FH1ij/OvvDll2J93tRu9qg+2Q/89U/76FH2yH/nqn/fQo+sUf5194csuxPu9qN3tUH2yH/nqn/fQo+2Q/8APVP++hR9Yo/zr7w5Zdifd7UbvaoPtkP/AD1T/voUfbIf+eqf99Cj6xR/nX3hyy7E+72o3e1QfbIf+eqf99Cj7ZD/AM9U/wC+hR9Yo/zr7w5Zdifd7UbvaoPtkP8Az1T/AL6FH2yH/nqn/fQo+sUf5194csuxPu9qN3tUH2yH/nqn/fQo+2Q/89U/76FH1ij/ADr7w5Zdifd7UbvaoPtkP/PVP++hR9sh/wCeqf8AfQo+sUf5194csuxPu9qN3tUH2yD/AJ7J/wB9Cj7ZB/z1T/voUfWKP86+8OWXYn3e1G72qD7ZD/z1T/voUfbIf+eqf99Cj6xR/nX3hyy7E+72o3e1QfbIf+eqf99Cj7ZD/wA9U/76FH1ij/OvvDll2J93tRu9qg+2Q/8APVP++hR9sh/56p/30KPrFH+dfeHLLsT7vajd7VB9sg/57J/30KT7Zb/89k/76FH1ij/OvvDkl2LG72o3e1V/tkH/AD2T/voUfbIP+eyf99Cj6xR/nX3hyS7Fjd7UbvaoPtkP/PVP++hR9sh/56p/30KPrFH+dfeHLLsT7vajd7VB9sh/56p/30KPtkP/AD1T/voUfWKP86+8OWXYn3e1G72qD7ZD/wA9U/76FH2yH/nqn/fQo+sUf5194csuxPu9qN3tUH2yH/nqn/fQo+2Q/wDPVP8AvoUfWKP86+8OWXYn3e1G72qD7ZD/AM9U/wC+hR9sh/56p/30KPrFH+dfeHLLsT7vajd7VB9sh/56p/30KPtkP/PVP++hR9Yo/wA6+8OWXYn3e1G72qD7ZD/z1T/voUfbIf8Anqn/AH0KPrFH+dfeHLLsT7vajd7VB9sh/wCeqf8AfQo+2Q/89U/76FH1ij/OvvDll2J93tRu9qg+2Q/89U/76FH2yH/nqn/fQo+sUf5194csuxPu9qN3tUH2yH/nqn/fQo+2Q/8APVP++hR9Yo/zr7w5Zdifd7UbvaoPtkH/AD2T/voUfbIP+eyf99Cj6xR/nX3hyy7E+72o3e1QfbIf+eqf99Cj7ZD/AM9U/wC+hR9Yo/zr7w5Zdifd7UbvaoPtkP8Az1T/AL6FH2yH/nqn/fQo+sUf5194csuxNu9qN3tUP2yH/nqn/fQo+2Qf89U/76FH1ij/ADr7xcsuxPu9qTPtUH2y3/57J/30KPtlv/z2T/voUfWaP86+8fJLsWOfSjn0qv8AbLf/AJ7J/wB9Cl+2Qf8APZP++hR9Yo/zr7xcsuxNn2oz7VD9rg/56p/30KPtkP8Az1T/AL6FH1ij/OvvHyy7E+72o3e1QfbIf+eqf99Cj7ZD/wA9U/76FH1ij/OvvDll2J93tRu9qg+2Q/8APVP++hR9sh/56p/30KPrFH+dfeHLLsT7vajd7VB9sh/56p/30KPtkP8Az1T/AL6FH1ij/OvvDll2J93tRu9qg+2Q/wDPVP8AvoUfbIf+eqf99Cj6xR/nX3hyy7E+72o3e1QfbIf+eqf99Cj7ZD/z1T/voUfWKP8AOvvDll2J93tRu9qg+2Q/89U/76FH2yH/AJ6p/wB9Cj6xR/nX3hyy7E+72o3e1QfbIf8Anqn/AH0KPtkP/PVP++hR9Yo/zr7w5Zdifd7UbvaoPtkP/PVP++hR9sh/56p/30KPrFH+dfeHLLsT7vajd7VB9sh/56p/30KPtkP/AD1T/voUfWKP86+8OWXYn3e1G72qD7ZB/wA9k/76FH2yD/nsn/fQo+sUf5194csuxPu9qN3tUH2yH/nqn/fQo+2Q/wDPVP8AvoUfWKP86+8OWXYn3e1G72qD7ZD/AM9U/wC+hR9sh/56p/30KPrFH+dfeHLLsT7vajd7VB9sh/56p/30KPtkP/PVP++hR9Yo/wA6+8OWXYn3e1G72qD7ZD/z1T/voUfbIf8Anqn/AH0KPrFH+dfeHLLsT7vajd7VB9sg/wCeyf8AfQo+2Qf89k/76FH1ij/OvvDll2J93tRu9qg+2Q/89U/76FH2yH/nqn/fQo+sUf5194csuxPu9qN3tUH2yH/nqn/fQo+2Q/8APVP++hR9Yo/zr7w5Zdifd7Ubvaq/2yD/AJ7R/wDfQo+2wf8APaP/AL6FH1ij/OvvDkl2LG72o3e1V/tsP/PVP++hS/bIf+eqf99Cj6xR/nX3hyy7E+72o3VB9sg/57J/30KPtkH/AD2T/voUfWKP86+8OWXYm/Cl4qv9sg/57J/30KlVxIoIII9QaqFanPSEri5WtySiiityQooooAKKKKACiiigAooooAKKKKAEr5s+N3/J0Xwe+lx/WvpOvmz43f8AJ0Xwe+lx/WvOx38Neq/NAfSY6VwfjvwTqmveJ/Dev6RdWEF5o63SKmoW7yo3nKilhtZSrAIRn0Y13i9KWuyUFOPLIDyzwL4D8W+Dbi6Vb3w89vfanNqN60VhKkshllLuAfNxkA7VJBwFGc16kvSgUtTSpRpK0QE61RvtQW1+VRuf09KmvLkW8JY9eg+tc8zNIxLHLHqa76VPm1ex5GOxn1dckPiZM+oTyMcvx/dwMVkfD3wloPw+t76x0LT49Mtr66a8khhJ8sSlVU7R/CMKvA4HtWhRXRKhCWttTwaWNq058zlc6jrVLVpPLtSAeWOKTS7zzotrHLpx9ar61Ju2J6c1ywi/aKLPo8RXjLDSqR6ozaKKK9I+MCiiigC/o83ltKnYjdVOaTzJnfruOaSKQxMSOpBFNrKMbSbO2pX5qEKXYKKKK1OIKKKKANvSZC9sAeo4rQrG0V/ndfoa2P4a8uorTZ9xg5+0oxYtFFFZnaFFFFABRRRQAUUUUAUtU40+4x18tv5V454A+Hdj4s0iW7ubi4jdZjGBEygYAB7qfWvY9Uz9huP9xv5Vw/wV/wCRZnz/AM/Lf+grX55nGDoZhneGoYmPNDlk7Pa90exh606OFqSpuzuv1Gf8KP0j/n9vv++0/wDiaP8AhR+kf8/t9/32n/xNej9zRivX/wBVcm/6B1+P+Zh/aOL/AOfjPOP+FH6R/wA/t9/32n/xNH/Cj9I/5/b7/vtP/ia9HxRil/qrk3/QOvx/zD+0cX/z8Z5x/wAKP0j/AJ/b7/vtP/iaP+FH6R/z+33/AH2n/wATXo+KMUf6q5N/0Dr8f8w/tHF/8/Gecf8ACj9I/wCf2+/77T/4mj/hR+kf8/t9/wB9p/8AE16PijFH+quTf9A6/H/MP7Rxf/PxnnH/AAo/SP8An9vv++0/+Jo/4UfpH/P7ff8Afaf/ABNej4oxR/qrk3/QOvx/zD+0cX/z8Z5x/wAKP0j/AJ/b7/vtP/iaP+FH6R/z+33/AH2n/wATXo+KMUf6q5N/0Dr8f8w/tHF/8/Gecf8ACj9I/wCf2+/77T/4mj/hR+kf8/t9/wB9p/8AE16PijFH+quTf9A6/H/MP7Rxf/PxnnH/AAo/SP8An9vv++0/+Jo/4UfpH/P7ff8Afaf/ABNej4oxR/qrk3/QOvx/zD+0cX/z8Z5x/wAKP0j/AJ/b7/vtP/iaP+FH6R/z+33/AH2n/wATXo+KMUf6q5N/0Dr8f8w/tHF/8/Gecf8ACj9I/wCf2+/77T/4mj/hR+kf8/t9/wB9p/8AE16Piij/AFVyb/oHX4/5h/aOL/5+M84PwR0j/n8vf++0/wDiaP8AhSOkf8/l5/32n/xNeiSN5cZbGcDNfHnhv9qL4xePory98L/D/TtT06K4aESRxyvsIwQrN5q5YKy5IA69B0rjrcO5Hh2lPD6vtdi/tHFf8/Ge/wD/AApDR/8An8vf++0/+Jpf+FI6P/z+3n/faf8AxNeMf8Ls/aH/AOiXWX/gPL/8eo/4XX+0P/0S6y/8B5f/AI9XP/YuQ/8AQL+DD+0sV/z8Z7P/AMKR0f8A5/bz/vtP/iaP+FI6P/z+3n/faf8AxNeMf8Ls/aH/AOiW2X/gPL/8eo/4XZ+0P/0S2y/8B5f/AI9R/YuQ/wDQL+DD+0sV/wA/Gez/APCkdH/5/bz/AL7T/wCJo/4Ujo//AD+3n/faf/E14x/wuv8AaH/6JdZf+A8v/wAeo/4XX+0P/wBEusv/AAHl/wDj1H9i5F/0C/gw/tLFf8/Gez/8KR0f/n9vP++0/wDiaT/hSOj/APP7ef8Afaf/ABNeM/8AC7P2h/8Aol1l/wCA8v8A8eo/4XX+0P8A9Eusv/AeX/49R/YuQ/8AQL+DD+0sV/z8Z3nxC+Hth4R0mG6tZ7iZ3mEZWVlIwQT2A9K6HT/g1pV1ZwzNd3itIisQHTGSP92vnrx98WPjjqmlxRax8OrSxthMGWRYZAS2DxzKexP5V0Fj8aP2g47SFIvhjZvEqKFb7PLyMcH/AF1fP4bJcq/tSvzUbw5VaOt0+rt0udtTMa/1eFpO93d/dY9u/wCFIaR/z+3v/faf/E0v/CkdH/5/bz/vtP8A4mvF/wDhdn7Q/wD0S2y/8B5f/j1L/wALs/aG/wCiXWX/AIDy/wDx6voP7FyH/oF/BnF/aWK/5+M9n/4Ujo//AD+3n/faf/E0f8KR0f8A5/bz/vtP/ia8Y/4XZ+0P/wBEtsv/AAHl/wDj1H/C7P2h/wDoltl/4Dy//HqP7FyH/oF/Bh/aWK/5+M9n/wCFI6P/AM/t5/32n/xNH/CkdH/5/bz/AL7T/wCJrxj/AIXZ+0N/0S6y/wDAeX/49R/wuz9of/oltl/4Dy//AB6j+xch/wCgX8GH9pYr/n4z2f8A4Ujo/wDz+3n/AH2n/wATR/wpHR/+f28/77T/AOJrxn/hdn7Q/wD0S6z/APAeX/49Sf8AC6v2h/8Aoltl/wCA8v8A8eo/sXIv+gX8GH9pYr/n4z2f/hSOj/8AP7ef99p/8TR/wpHR/wDn9vP++0/+Jrxj/hdX7Q//AES2y/8AAeX/AOPUv/C7P2h/+iXWf/gPL/8AHqP7FyL/AKBfwYf2liv+fjPZv+FI6P8A8/t5/wB9p/8AE0f8KR0f/n9vP++0/wDia8Y/4XZ+0N/0S6y/8B5f/j1H/C7P2hv+iXWX/gPL/wDHqP7FyL/oF/Bh/aWK/wCfjPZ/+FI6P/z+3n/faf8AxNH/AApHR/8An9vP++0/+Jrxj/hdn7Q//RLrL/wHl/8Aj1H/AAuz9of/AKJbZf8AgPL/APHqP7FyL/oF/Bh/aWK/5+M9n/4Ujo//AD+3n/faf/E0f8KR0f8A5/bz/vtP/ia8Y/4XZ+0N/wBEusv/AAHl/wDj1H/C7P2h/wDol1l/4Dy//HqP7FyL/oF/Bh/aWK/5+M9n/wCFI6P/AM/t5/32n/xNH/CkdH/5/bz/AL7T/wCJrxj/AIXZ+0P/ANEtsv8AwHl/+PUf8Ls/aG/6JdZf+A8v/wAeo/sXIv8AoF/Bh/aWK/5+M9n/AOFI6P8A8/t5/wB9p/8AE0f8KQ0j/n9vf++0/wDia8Y/4XZ+0P8A9Etsv/AeX/49R/wuz9of/oltl/4Dy/8Ax6j+xch/6BfwYf2liv8An4z2f/hSOj/8/l7/AN9p/wDE0n/CkNI/5/L3/vtP/ia8O1T4/fHvRdNu9Qvvhrp9tZWsTTzzPbzbY41BZmP77oACaq+Gf2kvjj4w0aDVdF+Hum6lp0xYR3MMExRirFTj992II/Cj+xshvy/VtfRh/aWK/wCfjPfP+FI6P/z+3n/faf8AxNH/AApHR/8An9vP++0/+Jrxj/hdn7Q//RLrL/wHl/8Aj1H/AAuv9of/AKJdZf8AgPL/APHqP7FyH/oF/Bh/aWK/5+M9n/4Ujo//AD+3n/faf/E0f8KR0f8A5/bz/vtP/ia8Y/4XX+0P/wBEusv/AAHl/wDj1H/C7P2h/wDol1l/4Dy//HqP7FyH/oF/Bh/aWK/5+M9n/wCFI6P/AM/t5/32n/xNH/CkdH/5/bz/AL7T/wCJrxj/AIXZ+0P/ANEtsv8AwHl/+PUf8Lr/AGh/+iXWX/gPL/8AHqP7FyH/AKBfwYf2liv+fjPZv+FI6P8A8/t7/wB9J/8AE1S1j4PaVp+k3dzHdXjPDC8ihnTGQCRn5a8m/wCF2ftD/wDRLrL/AMB5f/j1U9Y+M/7QE2l3aXHwys44GiYSSC3l+VcHJ/13pXPiclyT2E+TDWdnbR9jSGY4rmV6jPS/APw50/xZorXlzPcxOsjR7YmULgAeqn1rp/8AhSOj/wDP5ef99p/8TXzr4E+LXxx03R3h0f4dWl7beaWMjQSk7sDI4lHtXR/8Lr/aG6D4XWX/AIDy/wDx6vPyfJcn+o0vrGH5pW1au036o2xWZYj20uSbSvoj2j/hSOj/APP7ef8Afaf/ABNH/CkdH/5/bz/vtP8A4mvGP+F2ftD/APRLrL/wHl/+PUf8Lr/aH/6JdZf+A8v/AMer2P7FyH/oF/BnL/aWK/5+M9n/AOFI6P8A8/t5/wB9p/8AE0f8KR0f/n9vP++0/wDia8Y/4XX+0P8A9Eusv/AeX/49R/wuz9of/ol1l/4Dy/8Ax6j+xci/6BfwYf2liv8An4z2f/hSOj/8/t5/32n/AMTR/wAKR0f/AJ/bz/vtP/ia8Y/4XZ+0N/0S6y/8B5f/AI9R/wALs/aG/wCiXWX/AIDy/wDx6j+xci/6BfwYf2liv+fjPZ/+FI6P/wA/t5/32n/xNH/CkdH/AOf28/77T/4mvGP+F2ftD/8ARLbL/wAB5f8A49R/wuz9of8A6JbZf+A8v/x6j+xch/6BfwYf2liv+fjPZ/8AhSOj/wDP7ef99p/8TR/wpHR/+f28/wC+0/8Aia8Y/wCF1/tD/wDRLrL/AMB5f/j1H/C7P2h/+iW2X/gPL/8AHqP7FyL/AKBfwYf2liv+fjPZ/wDhSOj/APP7ef8Afaf/ABNH/CkdH/5/bz/vtP8A4mvGP+F2ftD/APRLrL/wHl/+PUf8Lq/aH/6JbZf+A8v/AMeo/sXIv+gX8GH9pYr/AJ+M9n/4Ujo//P7ef99p/wDE0f8ACkdH/wCf28/77T/4mvGP+F2ftDf9Eusv/AeX/wCPUf8AC7P2h/8Aol1l/wCA8v8A8eo/sXIv+gX8GH9pYr/n4z2f/hSOj/8AP7ef99p/8TR/wpHR/wDn9vP++0/+Jrxj/hdf7Q//AES6y/8AAeX/AOPUf8Ls/aG/6JdZf+A8v/x6j+xci/6BfwYf2liv+fjPZ/8AhSOj/wDP7ef99p/8TR/wpHR/+f28/wC+0/8Aia8Y/wCF2ftD/wDRLrL/AMB5f/j1H/C7P2hv+iXWX/gPL/8AHqP7FyH/AKBfwYf2liv+fjPZv+FI6P8A8/t5/wB9p/8AE0f8KQ0j/n9vP++0/wDia8Z/4XZ+0N/0S2y/8B5f/j1H/C7P2h/+iW2X/gPL/wDHqf8AYmRf9Av4MP7SxX/Pxns//CktI/5/L3/vtf8A4mj/AIUjo/8Az+3n/faf/E189+HP2ovjV4suNQg0fwFpeoTafL5F2kMExMMgJBVv33Xg/lW7/wALs/aG/wCiXWX/AIDy/wDx6lHJshkrxw1/kw/tLFf8/Gez/wDCkdH/AOf28/77T/4mj/hSOj/8/t5/32n/AMTXjH/C7P2h/wDoltl/4Dy//HqP+F2ftD/9Etsv/AeX/wCPUf2LkP8A0C/gw/tLFf8APxns/wDwpHR/+f28/wC+0/8AiaP+FI6P/wA/t5/32n/xNeMf8Lr/AGh/+iXWX/gPL/8AHqP+F1/tD/8ARLrL/wAB5f8A49R/YuRf9Av4MP7SxX/Pxns//CkdH/5/bz/vtP8A4mj/AIUjo/8Az+3n/faf/E14x/wuz9of/ol1l/4Dy/8Ax6j/AIXX+0P/ANEusv8AwHl/+PUf2LkP/QL+DD+0sV/z8Z7P/wAKR0f/AJ/bz/vtP/iaP+FI6P8A8/t5/wB9p/8AE14x/wALr/aH/wCiXWX/AIDy/wDx6j/hdn7Q/wD0S6y/8B5f/j1H9i5D/wBAv4MP7SxX/Pxns3/CkdH/AOf29/76T/4ml/4Ujo//AD+Xv/fSf/E14x/wuz9of/ol1l/4Dy//AB6svxJ+0h8c/COi3Orax8O9N0/Tbfb5txNBMFTcwUZ/fd2YD8aHkuQpXeG/Bh/aWK/5+M96/wCFI6T/AM/t7/32n/xNH/CkdH/5/bz/AL7X/wCJrw3R/wBoP49eINKtdS074b6feWN1GssE8cE22RCMgj99Vz/hdn7Q/wD0S2y/8B5f/j1CyXIWrrDfgw/tLFf8/Gez/wDCkdH/AOf28/77T/4mk/4Ufo//AD+3v/faf/E14z/wuv8AaH/6JdZf+A8v/wAeo/4XZ+0P/wBEtsv/AAHl/wDj1H9i5D/0C/gw/tLFf8/GexTfBXSI4mYXl5kDP30/+Jrlfh58PbHxdp9zcXNxcRvFN5YETKBjAPdT61wcvxp/aFaNg/wvswCOf3Ev/wAepP8AhP8A4o+E2+z+B/B9v4hsZR5k880bsY5em35ZF7AH8a+XxmVZRHNsNSjQtGSlda62tb7j0aONxMsLUm5u6aPav+FJaP8A8/l7/wB9p/8AE0v/AApHR/8An9vP++0/+Jrxn/hdn7Q//RLbP/wHl/8Aj1H/AAuz9of/AKJdZf8AgPL/APHq+p/sTIv+gX8Ged/aWK/5+M9n/wCFI6R/z+Xv/faf/E0n/CkdH/5/L3/vtP8A4mvGf+F1/tD/APRLrL/wHl/+PVb+G/7RnxG1L4xaH4L8Z+FdP0L+0klfEcciSgLE7hhmRgRlMdO9CyXIbpPDWvpqmH9pYr/n4z0jxB8I9M0fRb29jurtngieQKzrtJAJ5wtdb8Mvm8F6eSSflP8A6EaveOP+RR1Yf9O0n/oJqj8L/wDkS9P+h/8AQjWGDy/DZbxCqeEhyxdNtpd7o6qlapWwTdR3akvyZ1tLRRX6OeKFFFFABRRRQAUUUUAFFFFABRRRQAlfNnxu/wCTovg99Lj+tfSdfNnxu/5Oi+D30uP6152O/hr1X5oD6TXpRQvSlr0FsA0dKN1Ke9V7qb7PC7+1UtSZSUU5MydUuPOuCgPypx+NU6CxZiTyTzRXpxjypI+ExFV1qjk+oUUUVoc5Lazm3uEcdO/0qXUpvMuOOgUCqnejvk8ms3Fc3MdSrtUXS6XFooorQ5QooooAKKKKACiiigAooooAtaXJsvFB/iBFb9cxDJ5c0bdMMDXTjoK8+sveufVZXO9Jx7MWloornPbCiiigAooooAKKKKAKeqf8g+f/AK5t/KuH+Cv/ACK8/wD18t/Ja7jVP+QfP/1zb+VcP8FP+RXn/wCvlv8A0Fa+Kxn/ACUOG/wT/NHpU/8Ac6nqv1PQ+5paTuabJ9xvpX2p5ouQKN3uK8BuvE+rpcyquqXQUOwAEzcc/Wo/+Eq1j/oK3X/f5v8AGu1YOTV7nmvHRTtY+gs02vjH4yfHjxf8OdW8Jpp9w95ZXs9w+pCR5WlW2hi8yRotp+8FDNyDnbjjORnaD+0/rFzqXiKzvbyWee312507Tkt7jyVkt4be2laSR5JAN2bgDjGcr8vDEQ8O07NlrFJq6R9wgj1oz718PJ+1Zqcmr63sstYm0HTfDEPiX7fFdKXkjbzyyCPdnP7ggerBu20no7f9oyG+1S/sLPVdSvZ7SeyhDQSExzi6JWKSNs4ZdyyAkdCje1H1fzH9a/un19u96M+9fF1v+1Okkdlczy63aabqdndX2lXs0gC6hFAu9/LUPuBaPMiBlBZATxjFR3H7Q+vWvijQre6fXLU6xYu9loe5JLqaTzo1EhKMQqrGxdiWAUdfmwCfV33BYq/Q+1fpRu96+N/i18ZfFvge40R4Na/sjQ7kyrf69qFvNd29k42eUsqxyxmNH3PmZm2LsAb7wItat+0XHo+qWenzanqj3NxrcehARsTtlkh81JTz/qyCo3erqO9P6s1uyVi01dI+viRxzSV8Tar+07qqeFdU8R6Q2qalawaK2r21nITA80XmSKsu5n4RlQOF2htpB5J2jqdJ+NWs634guNKtbfXS9kY4tRuGmQR2UzxLMIWPmZZgjxklAwHmLyecL6u+4/rX90+scjueaK+K/gv+0Dr/AI00Xw3Y61NrVnr154fttW+0XTII75Ssayyp5bELh3U7SFOJFIGOBpW/xg8Zf8LyufCE9+g0X+whqsEkcspuPM88REMd23HXgD8e1V9Xl3F9bV2mj7D3f5zSFq+ff+Ep1n/oKXX/AH+b/Gj/AISrWP8AoK3X/f5v8ar6nLuZ/X49j6C4penNcp8Obye+8MxzXM0k8pkcF5GLHr6murrilHlbR6MJc8VJdSOf/Uv9DXzP+wL/AMkt1/8A7Dcn/oiGvpib/Uv/ALpr5n/YF/5Jh4hH/Uck/wDRENeVW/3qn8yz6dooor1ACivIv2hte1LQdH0l9Nv7iwkknYO1vKULDb0OK8N/4WJ4p/6GLVP/AALf/GgD7PoryX9nzXNR17QdUl1G+uL6SO5Co1xKzlRsBwMmvWqACiiigDzj43f8i5af9fS/+gvXb6L/AMgm0/65L/IVxHxu/wCRctP+vpf/AEF67fRf+QTaf9cl/kK+HwX/ACUGK/wwPUq/7nT9X+hfpOBzS5rmfiBdTWPha9nt5XhmUx7XjYqRl1B5HtX3MY8zSPIlLli2dLke1GfpXz5/wlWs/wDQUu/+/wA3+NL/AMJTrP8A0FLr/v8AN/jXb9Tl3PO+vx/lPoHNLXwn4y/aW8ZeDfFXjKyu7hBo9nZyJo96ZZMnUI7L7UYJ/n5EiFihXb/qXBOWWum1D9pN9L1htNkvNQuJYbmzsLqWG4UCK4ufL8pQrOGYfvYtzAHbvHXDYz+r+Zt9a0vyn2N+NJ+P618aeEf2jtY1qK2bWLfV9B+1ajfadbyzXKyRM1s8wO5lc7SUgY84GVbBI5NbTv2sbfWNE03ULKbXrl77T4b9LRBiVPOn8iCJsuFDvIsuBnAEMhJGBlfV/Mn63/dZ9q8+tGa+N779o7VNPaGzksvEEmuS6qNIGlwyoX8420lyGDmQIYzFEx3buO461W+EPx617xnfa1pN1quo3uo6fqmqRzzIwWK1hj1CeG3icqR85jj44JIQsx5BNfV3e1w+t6X5WfaP4UZFfFNr8cfGlv8AELXNH1fUWsIoGlbSNKFrOZ9WhSFXDwXbSiFpN5YGLbuXAJOOasaT+1Xp2uTXEVnqurF47XT7uPzSU89bzYY1jy3zMoliLgfd8xeuan6u+4/ra6I+zuKMiviyz/aJ19vEmlaYBqF/Z3kms+dqEcwhW1Wxvltm3I0hLBQSSwOThSFGSq5Pi39pHxfHpfgvVtKtfENvZavrdrbpGxieW9t5YZmChS/7tiURsttwOrD5gD6u+4/rWtuU+6dwpMivl3wz8Uta8WaDcX1rNqFldwz3Fs1reXGCs0TtGylkZht3L1GeO3aqfw7+JXi7xBZav/bOphb2x1Oaz/0GSRY9qhSPvMSSN2CeM4zgdKtYV9yPriV7rY+r8j2pP5V8+/8ACU6z/wBBS8/7/N/jS/8ACU6x31W7/wC/zf41X1SXcSx0ex9B0tNj+6Oc06uE9I4n42f8kb8df9gG+/8ASd64b9jT/k3vw6f+ml1/6UyV3Pxs/wCSN+Ov+wDf/wDpO9cN+xn/AMm9eHP+ul1/6UyV5kv97j6MR7dS0UV6Ywor5h+MHjLXtJ+ImrWtlrV9a20flbIYbh1VcxITgA8c5rj/APhY3in/AKGLU/8AwKf/ABoA+zqK5/wJdTXngzQ57iR5p5bKF3kkJLMSgJJPc10FADTWX4p/5F3Uv+veT/0E1qnvWV4q/wCRd1L/AK95P/QTXn47/dav+F/kaU/4kfU5P4LD/ilpB/08P/IV6B6VwHwZ/wCRXm/6+X/ktd/XjcL/APInw/odeP8A96qeofhR+VN/h5rwK48T6wtxIBql2AGOB5zev1r6+nSdR2R49asqKTa3Pf8AcKXivnz/AISnWf8AoKXX/f5v8a86+MPxn8a+AodDl0Q3GsNcXMjXVnvleeW3jiaSRYArcy7VO1SCGIC8ZyNnhZRV7nNHGxk7WPsYUtfDnhf9qbUNYbW5pdSa7sv7eXS9HktpzELiJrGK7EjtI4A+VnOeOAoxmrOk/tSalrmvPDZW2tTaPHor6rJe/aEDxNHLPFJEyb+SrwMmVLAt04+apWH8zT60ux9tfjR+NfHVx+01aRXFxb2+ralfTQnT1227khnvZY44UDFgCw8+F254WVTzmkk/aTnt2hmuZNYtNLu2uUsdQmmVUu3gR3YKm/cNyxyFcjnYc44zX1X+8ifra/lZ9jZFAx65r4Yk/aa1xvFvgqQ3OsWeleIdHvri00qZ0NzezCewFuygMSv7ueZipIwu4sBs46H4tfGLxf4JXRp7bU5tP0eZ5v7R1u4tJ9QhsNqBk8yKKVGVG+fMuSqbRuGGyI+rvuP62rpW3PsbdRn1r421L9pyDQdRXTrzVtRmuv7TsNLEluxZJDdxq0Fwnzf6gsxTfk4ZWHOKzvGf7TWr+H9Jv9T06fUtQS30XVdSismJjab7HNFGz+az/KmZOmwkjnIxgv6u+4fWtfhZ9tfSjI718l6f8adf1TVBp0NhrouIhGb3NzFizLnKhj5nzHbhzszgEdTxWD8Gvj94i8YaD4ZtdZm1m21i+0WLUBeXDIsd5gIJZFEbHaNzqQCFyGGB2p/VntcX1tWvY+0vxpNwr5Gv/it4ysfi5o/hxtQU6LqOm3d4kiyym4EkLW64JyFAPnHjB6DkdK7j/hKtY/6Cl3/3+b/GqWFk+pMsbFW0PoHj1p3FfPn/AAlWsf8AQUu/+/zf416h8L7651DQZ5LqeS4kFyyhpXLHG1Tjn6ms6mHdJXbNKOKVaXKkdnSN9006kb7prklsdx8z/sjf8jp8XP8AsPSf+hyV9MetfM/7Ip/4rT4t/wDYek/9Dkr6Y9a87L/4C+f5iWwUtFePftDeINT0Gx0RtNv7mwaWSUO1vKULABcA4PvXpjPYaK+Mf+FjeKf+hi1P/wACn/xr2X9nXxDqmv8A/CQHUtRur/yvs4j+0Ss+zPmZxk8ZwPyoA9pooooAKKKKAEPSvGv2wP8Ak3bxb9LX/wBKoa9lbpXjX7YH/Juvi36Wv/pXDXHi/wCBP0A6X9n3/kiPgj/sE2//AKAK9AHSvP8A9n3/AJIj4I/7BNv/AOgCvQF6Vph/4UPRfkAtFFFdAEFz/wAe8n+6a86+CP8AyBb/AP6+v/ZVr0W5/wCPeT/dNedfBH/kC3//AF9f+yrXxWYf8j3B+k/yR6dH/dKvqv1PSmp1NanV9qeYNavmDx5/ye94B/7B0v8A6JuK+n2r5g8e/wDJ8Hw//wCwfL/6JuK8rHfDD/EvzFLY+g/HP/Ipav8A9e0n/oJrP+GH/Il2H0P/AKEa0PHP/Ipav/17Sf8AoJrP+GH/ACJdh9D/AOhGvnZf8lLD/r0//SkerH/cZf4l+TOuooor7c8sKKKKACiiigAooooAKKKKACiiigBp7cV87fGLS7y+/aa+FM1tazTw2sc8lxJHGWWJem5iOg+tfQs8ywxl2OBjNc/dXDXUxc8dgMdves54V4mPLeyumcGKxUMPHXV9joFmSThWB+hp9cwrNG25W2kdxW1p179oXa/Dr1rrnScFdGGFx8cQ+SSsy9WXrUwWNIx/EcmtMtXPahL51057LwKKMby9Cswq+zotLd6EFFFFeifHBRRRQAUUUUAFFFFABRRRQAUUUUAFFFFABRRRQAV0tu26FT7Zrmq39ObdaRnvjFcmIWiZ9BlMvelEuUUUVxH0oUUUUAFFFFABRRRQBS1T/jwuD/0zb+VcP8Ff+RZn9PtLf+grXc6p/wAeNx/1zb+VeM+APiJZ+FdHltZra4ndpTJmFVIGQOOT7V+dZxjsPl+d4atiZWjyyV/mj2cNRnWwlSMFd3X6nuFNb7p+ledf8Lt07/oH33/fC/8AxVH/AAuvTW4On3w/4Av/AMVXsLirKb/xvwf+RyvL8Tb4GebXn/H3P/vt/OoadNMJ5nkAKhiWAYYIya5q8+IXh/T3uluL/wAs2sqwTDyZDtdgxA4XnhW6elfplKpGpCM4u6aufDyi1Jxa1RJrvgyw8Ra/oWrXZkM2jtcGGMFTHJ50RjcOCDkbTxgj8a4nRf2ddC8K2siaBquraNcfbp76C6hkika3EscUbQKskbIYgkEQAZSRsBzmu0k8f6DHLPE1/iSC4FrIPJk+WU7gF+7z9xuenFMl+Ifh+BZXfUNqxTfZ3PkycSc8fd9j7VTUHqxpzjoiG1+H9tZeMLfxJHqF6b9dNXS7hWMZju4kdnjMi7OGVpJCChX/AFhByMAc14Y/Z58M+EtQ8K3djLfq/h2OaOCN5lZbgOCqed8uXMSs4j5G3e3Umurj+Inh6WUxpqGXEy2xHkyf6xs4X7v+yeenHWpF8eaE6oRfcPc/ZF/cyf63j5fu+456e9LliNOojlbP4D6Hawpbve6jd2NraT2Ol2dxJG0elQzLskEB2bs7flBcuVX5RhSQdXxN8J9I8VS2U11cXkF3YWwgsru1lEc1q6srLMjY++CuOcqQSrKQSK0bf4jeHrp4Fi1De083kRjyZBmTj5fu/wC0OelLD8QvD9w8KR6huaaf7NH+5k5k4+X7v+0vPvTtAV57kXjrwOfHGnixk1vU9LtJIpLe6hsHjC3cLgB433o2AQMbk2sMnBGa5bWP2ePDGpzXb2732kJNoq6HDHp8/lraQgxESRAg7ZALeABjnAiXAHOeut/iFoF0toYr/cLqVoYf3Mg3su3I+7x95evrTI/iP4dk8jbqOfP3eX+4k+bb1/hoai9wTmtEU9Q+Fei32m31gPOtrS60UaCYrcqix243AFBjhhu+nA4pdH+G6aL4ibWIdd1Vp7gRtqELvF5WoTJEsKzyqsY2vsVQfLKKdq5U4FXbf4ieH7o2wiv95uWKxfuZPmx1/h4/Glj+Inh+byNl/nz4nmj/AHMnKJu3H7vbY3X0otEL1Cn4b+Gmm+Gbrw3cW091JJoehnQbfzWUh4MwHc+FGX/0deRgctx0xUf4WBvioPHP/CSauLoWn2D+zQtt9l8jO7Z/qfM+/wDPnfnPfHFasPxG8PTeVs1Dd5sTTJ+5k5VSwY/d7bW/Knf8LC0Dy7d/t/y3ETzRfuZPmRN24/d4xtbj2o90XvnR0VzsPxA0G4VWjvtwa3e6B8mQfu0LBm+72Ktx146citjTNTttYsoru0k863kG5H2kZH0IzVXRDi0e5fC3/kUo/wDrq/8AOuvzxXzBb/taeGvhj53h7UdF166u7aQlprS3iMTbuRtLSAnr6VY/4by8F/8AQu+Jv/AaD/49XyeIxlCFWUXLW59JQ/hR9D6Um/1L/wC6a+Zf2Bv+SY+If+w5J/6IhqST9vDwWyFf+Ed8TDIx/wAesP8A8eqH9gNxJ8MfEDDgHWnIz1/1ENeZKvTrYqnyO9rnQfUFFFFe4B4n+04f+JPog/6bv/6CK+e6+gP2nv8AkG6GP+msn8hXz/QB9E/syf8AIu6v/wBfY/8AQBXs9eMfsyf8i7q//X2P/QBXs9ABRRRQB5v8bP8AkXLT/r6X/wBBeu40U/8AEptP+uS/yFcR8bv+Rbtf+vlf/QXqpY/GTTLW0hhayvGMaKpKomOB/vV+Z/2nhMtz/EvEztzRjY9z6vVrYOHs43s3+h6f/OuY+JX/ACJt/wDWP/0YtYH/AAu7Sf8Anyvv++E/+KrJ8UfFLTvEWh3Onw2t3HNMU2tIi7RhwecN7V9RhuJsqq1oQhWTbaS3/wAjzK+BxEaUpODtY4aioL68h02znurh/LghQySPgnCjqcDmsD/hY/h1d2dQ+7Es5/cSfcOMH7vuK/R+ZHxSi+hm+MPhHo3jbQ/FmlahLd/ZvEbI9y0UgV4WSJI1aI7flIEannPOe3FTx/DmO08TvrNhrF/py3Dwy3ljAsJhu3jRUVnLRl1OxEU7GXIUZzVyP4jeHpFZl1DIWD7Q37mTiPIG77vqfrUk/j7QrZWaW+2BbZLs/uZP9U5UK33e5deOvNRyxNeapscp4g+A+keJPC+s+Hr3VdUOl6hfyahHHHJHG9m0skjzJE6oG2yedKrbix2uQCOKtr8E9Cjj8S7J71bjXL6PUDc+YvmWkkbb4xCduAiSF5ApBG6R85DYrdb4ieH1jlc3/wAsMaSuRDJwjgFT93uGFE/xE8PWzSrLqG1oY1lf9zIcK2Np+7/tD86OWAr1DO074W2dpfaZqN1qeoapq1lqTao19cmNXuJDaTWoDqiKoVYpjgIq8qD65d4b+Fum+FNY/tHT7u8jme4vridWZCtx9puJLgo428hJJX2EYIBIJOTnSPj/AEEW9zOb/wDdWyRyTN5MnyrIBsONvOcjp+OKZdfETw/ZtcCa/wBn2dlST9zIdpYEgcL6A9KLRC9R7lST4cx3Piq21m71vVb2G0uGu7XTJpIzbwTMrJuUhBIRh3AVnKjdwBgVz+g/s9+GPDl5o11aPeCXS7+6vYN0igFZ3VzAwCjMSNFDsXqvkxjJAIPVTfEbw7bm48zUdv2chZf3Enyknj+Hn8KdP8QvD9u1yJNQ2m3mWCT9zIdsjbsLwvP3T0449xRaAXqGOvwh02G406e31C+t5bO91G6LKY2E8d9cG4ubeQMhBjZyuMAOAi4bOSYLL4M2VrHosEuuaxfWWiX0d9ptrcSxFLby0kRIsrGC6BZDyxL/ACr83r0Mnj7QYZJ0e/w0FwLWQCKQ7ZDn5fu8/dPPTioX+JXhyNJXbUcLHL5LHyJOH54+77Gj3QvUL2k+GYtE03ULSzuriI3lzc3RmyheKSZ2diuVxwzHGQegzmsn4f8Aw/k8BnVS3iLVteOoXH2p/wC0xbjy5D95l8mGP73Gc5+6MY5zfTx5oUjlVvst9pFnjyn/ANac4X7vseenvTZPiBoMVwsD3+JTcNahfJk/1q4BX7v+0OenNP3Re/qdFRXOQ/EPw/MsLJqG5Zpvs6HyZBl+OPu+456Vt6heJp1jcXcqu0UEbSuI1LMQoycAck8dKJNcrYoxaaufTqfdFOFfMw/b48BrwdD8Tcf9OkH/AMfo/wCG+vAX/QE8Tf8AgJB/8fr4946h/MfUJqx7J8bP+SO+Ov8AsA3/AP6TvXDfsZf8m9eHP+ul3/6UyV5n8Q/22vBPinwD4k0W10fxDFc6lplzZxST20IjV5ImQFiJicZIzgE+1emfsZ/8m8+HP+ul3/6UyVyQrQrYuLg72T/Qs9vooor2hHyR8bv+Soa19Yv/AEUlcNXcfG3/AJKdrf8AvRf+ikrhm6UAfaHw/Xb4E8O/9g63/wDRS10NYHw//wCRD8N/9g22/wDRS1v0AIe9ZXin/kXtS/695P8A0E1qnvWV4o/5F/U/+veT/wBBNcGO/wB1q/4X+RpT+OPqcn8Gc/8ACLzY6/aG/kK79u9eJ+AfiNY+E9He0ube5mkaUybolUjBA9WHpXS/8Lu0nr9ivv8AvhP/AIqvgOH+Issw+V0KVWqlKKs1r/kezjcDiJ4iclBtNno7H5fwr5uuf+PiX/fP869K/wCF26T3sr7H+4n/AMVXmTTCeRpFBCsSRng1+iZLm+CzKpKGGqJtK73Pls0w9WjGMqkbISsjWPDNtrWqaPfTPKsulzPNCqEbWLRshDZHIwx6YqncfELw/azXUUt/tktphBKvkyEq5JGPu88qeRxxRcfELQLNroTahsNrKIZv3Mh2uc4H3efunpX1ja6ngcslscrpvwB8P6HDerpF5qGkzT6y+uQ3Fs8Ra1neHyWWNXjZPL8vK7WVhz7DG9b/AA4gt/Emma5/a+oyX9rYtp9yW8nZqEZYuBMvl4BV2Zh5ez7xHK8Vbn+Inh62+0+ZqG37NMLeX9zIdsh3YHC8/cbkelSSePtCikdGvsMlz9kYeVJxL02/d/XpU2iXeocZ4d/Zz8L+Gb7w1d2s19JNoV5NeQmeRX89ni8lFl+X5hFEESPGCojTOSM1or8FtLaTy59U1S60yEXH2HTZ3iMNi0yssjxHy95O13A3swUMcAVt/wDCyvDm3d/aPy+b5P8AqJPv+n3amTx9oMkkUa3wLyXJtFHlPzKMZX7vuOenPWjlgPmqGDq3wW0PWLfQ4pp7yNtG0h9Jspo5FDxBntpFnB2/61WtIiD93lsqc1teLfBs3iqyhtl8Qapo6KrRytYGHNwjDBV/MjcfioBGTgjNLH8RPD0zQqmoBjNM1un7mTlxjI+7/tD25p0fxA0GWO3kS+ytxKYIz5MnzOMZH3ePvDk+tHuk+/ppscvqn7P/AIU1SIRJFcafEugN4ciSzl2iK2wdjLkHEkZZijdi2eeKuXXwY0S+0e0024uLyWCDQLrw6zM67pYLjyTLIxA/1pMCnd0yzHBrcs/iF4fvmt1g1De1xK0EX7mQZdQpI5XsGXn3pV8f6C1vazi/zDdCQwt5UnzbBl+NvGPfr2o5YFc1QytN+Gsml6tDqC+KNalmYR/bldoAt+Y87DIFiG0hcL+62ZCgNmrPh34a6b4Zfw21rNcyNoOlnSLfzmU74iIhufCjLfuhyMDk8VZt/iN4eunhWLUNzTKzR/uZBuC5z/D7HrRH8RPD8scTpqGUlSSRD5MnKxglz93jAB69e1O0Re+zO1D4atqPxI07xe/iTVkksIZLeHTEW2+yiOQR+YpzD5h3NEjZ35BHGBxXa1zSfEbw9J5G3UM+fC88f7mT5kXduP3e2x+PapI/H+gzNEqX2TLC1wn7mTmNc5b7v+yePamuVbEtTe6Ohr1/4Sf8i7cf9fTf+gJXimk6ta65p8N9ZS+dazZKSbSu7BIPBAPUUW37V3hP4T3V74f1bTdcubyOUStJZW8TRENGhGC0ik/livOzCrClTUpuyOzBfxT6jyKRvu18z/8ADfXgL/oCeJv/AAEg/wDj9H/DfHgLp/YniYf9usH/AMfr5147D2+I966Hfso/L8RvjEBwP7ek4/7ay19Livlf9jHXIPE3ij4n6xapJHbahqv2qJJgA6q7SMAwBIBwexNfVFTl75sPFrz/ADJjsLXhv7UB/wBD8PD/AKaT/wAkr3KvCv2oP+Pfw7/vz/yjr0yjwSvef2Xf9X4j+tv/AO1K8Gr3r9l7/UeI/wDet/5SUAe7UUzd70u6gB1FN3UbqAFPSvGv2wP+TdfF30tf/SqGvY91eN/tgN/xjr4t+lr/AOlcNcmK/gT9GK5037Pv/JEfBH/YJt//AEAV6AvSvPf2fWH/AApHwR/2Cbf/ANAFegbqvD/woei/ILj6Kbuo3V0DIrr/AI95P901518E/wDkC6h/18/+yrXot037lx/smvOfgnxot/n/AJ+v/ZRXxeYJ/wBuYP0n+SPSov8A2Sr6o9LalyKbv96PMr7Q8y6HNXy/49/5Pg+H/wD2D5f/AETcV9P7q+YPHv8AyfB8P/8AsHy/+ibivKx/ww/xL8xvY+g/HP8AyKWr/wDXtJ/6Caz/AIYf8iXYfQ/+hGtDxz/yKWr/APXtJ/6Caz/hh/yJdh9D/wChGvnZf8lLD/r0/wD0pHqR/wBxl/iX5M66iiivtzywooooAKKKKACiiigAooooAKaTQ1R3EghjZj0AzQKUlFXZk6tc7pBEDwOTVClZjIxY8knNJXpwjyxsfC4is61VzYU6GRoZVcfw02iraurMwjJxakuh0XnKbYyZyNtc6xLMSe5zVqO4P2GSPvnj6VVrGlHlbPUx2I9tGFuwUUUV0HkBRRRQAUUUUAFFFFABRRRQAUUUUAFFFFABRRRQAnetvSHBtcD+Ekf1rFrU0VuJF98/pXPWXunr5ZLlr27mvRRRXnn1wUUUUAFFFFABRRRQBT1T/kHz/wDXNv5VwfwYt45PDM5ZFJ+0t1H+ytd5qn/IPuP+ubfyrhvgr/yLE/8A18t/Ja+Gx0IT4gwymr+5L80epSdsHU9V+p3v2OH/AJ5r/wB8ika1h2n90uf90VPimt91q+x+r0f5F9x5rlK2584Xn/H1P/vt/OoqmvP+Puf/AH2/nUNfUw2SR8lL4mw69eTR+HFePfHXWvEmk+Kvh+PDl5cxyi6vLqfT4OV1COGDzGgZcHduUMF7hipHIrlPA3x4vLi+177Kl3r0Opa/dSabJJFcyLBZpZ2MiqscUUjgE3AIG0AbmJOcAy6iTsaRpuSuj6LPPXmlrxCx+J3jvUPG2vrbaBHJaW/g+01m10C4kaG5N273Y8slogVZ2hCYY4UKpxksBoaF+0LZeKNZay0uwE8d1LY/2ZM8pX7bFPvMjhdpIMSxSMRyNpQkjdT9pEPYy6Hr9N4/rXisP7QGox6f4d1S68PwDTPEmm3mo6Z9mu2kmVYYPtCLOPLAj3xg5ILBWwvOc1Fr3xS1nw7488EwX2n2o1PxJataQW63rLYwu0qOpklKZ3bFIAC5ZztHXIPaIPZyPcaK8r+OUOrQWunavHNrB8M6bBdzarb+H737LeZ2KYp1IwZFjAlJi3AMWUkNt21nXn7RljDf6dBZWSX9tc3cLvefadiR6XJDC/28kr90PdWylDg/vM9jQ5pOzEqbkrrU9loya8L1r4ta7qXgDWPEOk6eumapJ4W/tu0W4vWeOKJnlMTGPYV8zYFY8YydpJAzXeeG/GGv+IPFWrad/ZOnw2WizRWWoT/a3ZzcPbRXBES+XhkCzxDLFSTu445PaIfs5Hb49qNorxz4F+PNautL8E+HtcsYA194SttVtb+C7aZ5VRYI5BKGRcOTNG3BbOW54509Qt9Sb436N/YusapNbQpPN4gtprrfYx27w7beJYiMJL5yq4KYbaJN5IZRT5utieV3aPUNopaKKszPYfhjZwTeFYmeGN281+WUE9a6z+z7b/n1h/74H+Fcz8Lf+RRi/wCusn867A187WjH2ktOp9NQ/hR9CnNp9r5L/wCjRdP7gr5s/YFwvw18Rr6a3J/6Jir6buP9S/8AumvmT9gb/knPiT/sNP8A+iYq8iqksVTsu5ufT69KWiivVA8N/aeP+haB/wBdJv5LXgNe+ftQN/o/h8dt838krwOgD6J/Zk/5F3Wf+vtf/QBXs9eMfsyf8i3q/wD19r/6AK9noAKKKKAPN/jd/wAi7a/9fK/+gvXZaPZwtpdoTChPlL/CPQVx3xt/5Fu1/wCvpf8A0Fq7fRf+QTaf9cl/kK+DwlKnU4gxXOk/dh+p6tSTWDp27v8AQn+xQf8APFD/AMBFcx8RraKPwffFIlU5j5CjP+sWuurl/iV/yJt99Y//AEYtfb0cNRjUi1Bb9kePWnL2b1PEMA9Rmloor6k+X1CivnT4leOPEfgjXviXqr6rN/wjJtTpkaeYVOlXn2BZbeeM54WSR2RuMhjCRxurspfjJqC+KLjQ9N0GfVRYXllYXEqxXLEtOkLvLvWFogsaTKx3uCQrcZA3Ze0j1NfYytc9ZorxTw/8ZNY8O+G49W8axafHpUmsarZNqFtck/Z0t5Lpl3KYlyAlsVBHJwCeSabpP7Q1/q1jEjeGUs9XitrVb+znveLO9uLt7eO3ZghzjyZmZgOMIADu4PaRF7KXQ9s/CjivLL74qeIrPWLXQRoWny67NrS6Tn7e622xrGa8E27yi2dsJUpt6nqap/A/xpeaxfeIdEnTzGs9X1iaSeac7tp1S6jiSNSPmRRGQTkbflAHPD503YPZySbZ7BRXkDXGveG/iVfS6t/aN62qXM0Ph+SG/ddNwLdWS1nhAIjYssrebscnB+YDCVneG/2l08TXlvbQ+H5YnvbWzlsC1xnz5ne3S7iPygKbdruFT1y28YG2j2i6h7OW6Pb8e1LXien/ABI11vF2jRWEUK6HI/iR7+G8u3llb7FqSwbkYxkjClikYIUb9ucIpqr4x8beK9Y0X4b6vBY2NmdV1+ze2todRkxJHJbXDbJm8scfdJwG5GMHAJXtIj9lK57tRXLeFdcvPGXhm/a5H9k38dzd6c8ljIJPLeKR4vMjLpgnK7huUjpkGsH4OyNdf8JDc2OqXur+F3vdmk3V9dPdNIqoqyskrks8RlD7Tkg9VJUiq5tVZEcrs79D0eiiiqltYmO6PoxdNtNo/wBFh/79j/Cl/s2z/wCfWH/v2P8ACrMf3RSivmfZx7H1S2OC+NOn2yfB3x0wt4QRoV8QQgz/AMe71x37Gf8Ayb14d/663X/pTJXc/Gz/AJI347/7AV9/6TvXDfsZ/wDJvfh3/rrd/wDpTJXnOKWMjb+V/mHU9vooor1BnyP8bP8Akp2t/wC9H/6KSuGbpXb/ABobd8TNc/30/wDRa1xNAH2j8P8A/kQ/Df8A2Dbb/wBFLW/WB8P/APkQ/Df/AGDbb/0Utb9ACHvWT4o/5F7U/wDr2k/9BNax71k+KP8AkX9S/wCveT/0E1wY7/dan+F/kaU/jj6nIfBy2ik8Myl0Vj9ofkjPYV3n2KAf8sk/75FcR8GP+RVk/wCvh/5Cu+7187w1h6Mspw7cFe3Y7sfOX1mpr1IDZwDnyU/75FfOtx/x8S/7x/nX0i33a+brn/j4l/3z/OvusDSp0pPkikfM4+TaiR0UV5d8bLjxMt94Oi8KagbPU21F5hbu4WG9EcLubaU4OEkCld2MqWDDlRXstpK55EY8zseo0mO2K+dfAvx2vbpfEd+kGoaguo+KvsFha3kFw7WMY02OdozHHG7jaySAqF4YknAya6DQfih4013xk6roUVtZJ4dN++j3byQ3H2hZ7iLKboQxDmJNu/b8rBsAkio9pE1dKSPa6K8Wh/aStdW1RLDSdIa8nuJdNtrPdMV+0S3IglmwAhIWG3uEmJ9Ekzjbk3Lr40arpdnpmq3ehW50jVnu47L7Pcu86+TFLIplGzaoYQsDgnaSOvZ+0iL2U+p67ScV8+a38XtX03xh8NNXu9MSJ/EWh3iw2EV2xtoWmudM8l7iUphcCRlyFPzOFH3q7j4xafrtwuj39nJqUmh2Bnm1Sw0XUPsV3NlMRurjBYJ85Me9AxKk5C7SlNa2WwvZtNX6nplFeIah+0ha6XJbpa6a2o6fI2nXcd81xt3aRcJh79/lwvlyLKGT+6m7IzgV/iB8W9Wi8Oahqui2q2mpHwxrep2VxJes0CJazwIjmLYUd2EgcEg4xtzhjT9pEr2Mj3ek2j0riNE8U+J9V1ybT30rS4o9P8lL+f7dIxLyLvxEPKG7CFTltuSSPeuU+BvjjWrjQ/BOi6zZQbb7w5DfW19HdtNLII1iVjKCgwzeYrcE980c6vYl02k2ex0V5lrlnef8Le0EaPrmqS3ZZ7rVrBrstZw2HlNHGphxtVnmUFGxvJST5iqkD02qi+boQ1y2CvWPhRZwXHh64aWCORvtTDLICfuJXk9ev/CL/kXLj/r6b/0BK4sYk4anZgv4h139mWn/AD6w/wDfsf4UjabaYP8AosP/AH7H+FXKa33TXiSpxtse+fNH7KChfiN8YQBgDXZAAO372Wvpmvmf9lH/AJKR8Yv+w9L/AOjZa+mK4sv/AIC9X+ZMdgrwv9qD/j38O/71x/KOvdK8K/ah/wCPfw7/AL1x/KOvTKPBK98/ZfH+i+Ijj+OD+T14HXv37L//AB4+ID/00h/k9AEPjmR18WamAzAeZ0z/ALIrB86T++351ueOv+Rt1P8A66D/ANBFYNe9TiuROx8zVk+d69R3nSf32/M0vnSf32/OmUVtyrsZcz7j/Ok/vt+dVtRs4NXspbS+iS7tZRh4Zl3ow68g+/P4VNXnnxu8Yal4R8M6SukloL3Wtc0/Q1vkjEhslubhImnCsCpZVY7dwK7iuQwypzlGNtVcqLlJ2TPQbZFs7eOCBRBBGoRI4xtVVHAAA6VJ5z/32/OvO5JNV+H66ToWn3114q1DU7iVoZvEN2qCCNIwzDzIodzDI4yGOXPOAAOetPj1ez6hqETeHo0tNH0Z9X1S4+1kmIRz3UMkcS7P3h3WpKk7QQxztxgyuVaWL5Zy1TPZfOk/vt+dHnSf32/OvOvhb8T7/wCIE12l74evNHWO3huY5ZbW7ijbeWzHungi3Ou0Z2bl+Yc16HVx5ZK9iJOUXZsd50n99vzpsZMKkIdoJydvFFFQ6FOU1UcVdbOwe0nZxvoO86T++35mhppNp+dvzptI3Q1o4rsJSl3PonRedHsSeSYIyf8AvkV83ePf+T4Ph/8A9g+X/wBE3FfSGif8gWw/694//QRXzf48/wCT4fAP/YOl/wDRNxXxWYfDH/EvzPqF8KPoLxx/yKOr/wDXtJ/6CaofDD/kS7D6H/0I1f8AHH/Io6t/17Sf+gmqHwv/AORL0/8A3T/6Ea+bl/yUsP8Ar0//AEpHrR/3GX+JfkzrqKKK+3PLCiiigAooooAKKKKACiiigBvXNZuszbY1jHVj+laVYGqSeZeN6KMVrRjzSPNzCr7Oi/PQq0UUV6Z8YFFFFACxsFYA/db5T+NIV25HpxRSzfeDf3gGqOpt8UPQSiiirMQooooAKKKKACiiigAooooAKKKKACiiigAooooAK0dFb99IPYVnVNY3H2WbcR8pGDWVSLlFpHbg6ip14ylsdLSEVHHIJlDKcg808da8w+3TurodRRRQMKKKKACiiigCnqn/ACD5/wDrmf5Vw/wU/wCRXn/6+W/9BWu41T/kHz/9c2/lXD/BT/kV5/8Ar5b/ANBWvisZ/wAlDhv8E/zR6VP/AHOp6r9T0PuabJ90il9ajmP7lvoa+wqT5IOfY87fQ8rn8A6W9xKzeJLdCzElcLxz/v0z/hX+k/8AQz235L/8XXmV9/x+XH/XRv51Dg+lfz7W8XsTRqSp/V1o7b/8A+yhwhRnFS59/L/gnot38I/Dd/qVhf3Gu2U15YF2tZmVd0RddrY+fuvFczD+y78N7W3eG1n02yVr6XUt1n+4cXEoCyOGSQMu4AAgHBAHHFc/z6UVz/8AEYsT/wBAy+//AIBouDqS2qfh/wAE7iH4F+ErfWrbVY9YtF1O3tfsSXWf3hhzkRsfM+cAkkbs4JJHJNUtO/Zv+H+k3WhXFlcaVazaGsyaa0USr9lWYYkCfPwGHGK5MEEcc06nLxgxUd8Mvv8A+AH+qFH/AJ+fh/wTqNM/Zt8AaO939jvNPgF1HNDJHgFAkrbpVRTJhA7csFAyQM9BWjqnwN8I61AYL7VLC6iMAttsiKcRh1dQPn4wyKwI5BUEEECuF/nS8mj/AIjDif8AoGX3/wDAD/VCl/z8/D/gna+JPgP4Q8YJGmr6zb3kUaSRbfMKKyPt3owWQB1baMhsjiq2rfs6eANfmvZdRudKupLyx/sydpIky9rkMYid/wB3IXp/dX0Fces8bTNEHUzIAzRg/MFOQCR6HafyNLLIkMbyyMEjQbmZiAoA7k1p/wARcxcnb6r/AF9xP+qNBf8ALz8P+Cd9qHwQ8JapFdxXer2M0d3Z/wBnzKyr+8t+f3Z+fp8x/OqVr+z34Jsdai1e31e2j1KOOOL7SJG3SKisqeZ+9/eFQzAM+SM9a5AMGAIOR60tZ/8AEYcQnrhl9/8AwClwfSt/E/D/AIJ3en/BHwlpM2mSWerWEEmm2R020ZEXMNsdh8pfn+7+6j/75FVbX9n/AMHWPiCbWoNdSHUZpTPLIlzIEkkKhSzJ520naAOR0A9K46ij/iMWJ/6B19//AABf6nUf+fn4f8E9S/4V7pP/AEM1r+S//F0v/CvNJx/yM1v+S/8AxdeV8+lLR/xGPE/9Ay+//gC/1No/z/h/wT6P8HaZBo+ipa292t9GrM3nLjBJPTgmt+uG+D//ACKEf/XR/wCddv3Br93yrHyzPA0sbKNnNJ29T5GvQWFqyox2i7CTfNC49jXzJ+wSpX4f+JlJzt1tx/5Bjr6cm/1LfSvmX9g3/kQvFX/Yck/9FR1db/eqXzOdn09RRRXqDPB/2oG+Xw6Pec/+gV4PXu37UTfP4bHtcH/0XXhNAH0V+zJ/yLer/wDX2v8A6AK9mrxr9mT/AJFnV/8Ar7H/AKAK9loAKKSloA84+N3/ACLlp/19L/6C9dvov/IJtP8Arkv8hXEfG7/kXLT/AK+V/wDQHrt9G/5BNp/1xX+Qr4jBf8lBiv8ADA9Sr/udP1f6F719KxfFelrrWh3Fk9ytosm3MzDIXDA9MjrjHWtk+lcd8WP+RJvR7x/+jFr6PMsc8uwdTFxV3BN272OGjRVepGk38Tt95zH/AAq+0/6GKH/v0P8A4uj/AIVfaf8AQxQ/9+h/8XXlPPrRz61+Ef8AEZMR/wBAy+//AIB9d/qbR/5+fh/wTu9Y/Z78Ma9p+sWGoX1jd2esYF/BLACtzhFQbh5n91VH4CmTfs7+GZtaTVjq0KX6mMmWJnjD7Pub1WUK+OnzA8cVw/PrQeOpNH/EYsQ/+YZff/wCv9T6X/Pz8P8AgnWXn7MPgvUNN1PTru4srrT9SuPtV1aTRl4ZJfMMhbYZCFy7FjtABJOc1a/4Z08KLb6xALuxWPV7j7ZfBYMGefC4kJ8zIYbVII6EZHNcTnnGf1pfx4pf8Rgr/wDQMvv/AOAP/U+l/wA/Pw/4J2+n/s6+FdLa1a21C1WW1umvopXQySCcxNCZC7SFifLdk5J4OKWy/Z58MaXqEV9Z39nbXcUlzIk0cOGDXEnmT8+Zzvf5iDxnmuG59f1o59f1o/4jFiF/zDL7/wDgC/1Ppf8APz8P+CdpH+zl4Vj11NYGoWxv45XnjkdWZI5HBDSIhl2qx3NlgAfmPqaZZ/s0+DbGezmgn05JrO8uL+3f7MMxTzsWmkGX6uxyfcA9hXFxTJcRiSKRZEPRlOQaJJkjaNWdVMh2oGYAscE4HqcAn8DWn/EXsVf/AHT8f+AH+qNG38T8P+Cd1/wzr4W8yylGoWsUtnc3F3BJGhRkknkMs5yJASHclmU8E4yOKq2P7Mfg3TGtDb3dqotJ0ubZHVnW3kVWVTGrSkIAHYYXA56dK5Pn1o59f1rL/iMWI/6Bl9//AAB/6n07fxPw/wCCegyfAnw9No+o6VJqlm2nah532q3MPyzecWMuf3n8RZs/Wq/hf9n3w74NtzBpGtC2gKJGI3kklVFQEKqh5SFAHYY7egrhcH1/WjLetH/EYq//AEDL7/8AgB/qdStbn/D/AIJ6t/wq+0/6GKD/AL9D/wCLpf8AhV9p/wBDFD/36H/xdeUc+tHzbc85rel4wYipUUPq61ff/gGUuD6ME5c+3l/wT6tj+4O9PqC1/wCPeP8A3RU+a/oCjP2sIz7o+Oa5dDivjZ/yRvx3/wBgK+/9J3rhv2Mv+TevDn/XS7/9KZK7r42f8kb8d/8AYCvv/Sd64T9jH/k3nw5/11uv/SmSuKX++R9H+Yj3CiiivTA+QPjAc/ErXe/74D/x1a47OOa674uNu+JGvH/p4x+grkG+6aAPtL4f/wDIh+G/+wZbf+ilrfrA+H//ACIfhv8A7Btt/wCilrfoAQ96yvFH/IA1L/r3k/8AQTWqe9ZXij/kAal/17yf+gmuDG/7tV/wv8jSn8cfU5T4L/8AIqyf9fD/AMhXfN1FcB8GP+RVk/67v/IV6B3rxuGf+RRh/Q68f/vVT1Gt3ryqX4Z2jyO3/CQQruJOPJHH/j9epT/6p/XbXy1dZ+1TH/bb+deJxZxdU4VjSlCnz87fW1rHRl2URzaUoylblPUf+FYWn/QxQ/8Afkf/ABdVbr4N6TfXdnc3GtWss9m7SW8jQjMbFSpI+f0JH415nz60c+tfm3/EY8R/0DL7/wDgHv8A+ptH/n5+H/BOrb9l3wUsV7HFLY2/2zUDqs8lvEYna7K7DMGWQFXKjBIIyCR3NXof2efDNvqWn6hHqsK39hCbeC6O4yCMnJRmMuXXPOGzzz15rhvqcUevJzTXjBibX+qr7/8AgA+D6X/Pz8P+Cdfpf7MfgnRZtFkspNMtm0aaefT/AC7YD7NJMGErL+8/iDMD9eMUtr+zR4Psbi4lhu7NPP8AO3x7GMQ83PmlYzLtQtk5KgE5Pqa5D8Tmj8aX/EYK/wD0DL7/APgD/wBT6f8Az8/D/gnb3X7OvhW+t7aGe9sZYrWyfTYVaAfu7ZzGWjH7zgEwxH1+QVLr3wB8PeJo4I9R1lJkhVlQRs8XytjKnZKNwOBwc9K4KmechkaMSAyKASu7kA9Din/xGHEv/mGX3/8AAD/U+l/z8/D/AIJ3Opfs4+EdY8z7bcabceZp0mksWtV5tHGGh+/9wgnj3PrSzfs6+FLjT4bKS7097WHTZdIji8gYWzkCCSAfvPukRJ/3yK4WSZYY2d2CIoLMzNgAAZJJ7U9WDqGDZU8gg8Gql4vYmKvLC/j/AMAX+qFHb2n4f8E663/Zl8IWuoQX8WoRR3sKogn3SF3VGZkEhMv7zaWbG/djPHFaenfAXw7pP9mfY9Ss7f8As21+xWhSAfuYfl/dj950+RfyFef/AI/rRz6mo/4jFiP+gZff/wAAf+p1L/n5+H/BOzt/2cfC9n4gudbt9WWHUbmYXE8kckqrLIECBmQTbWO1VXkdFA7Cui/4Vfaf9DFB/wB+h/8AF15Vz60nPc0f8RixH/QOvv8A+AD4OpPef4f8E9V/4Vhaf9DDD/36H/xddt4J0SLQNLlto7xb1WmMnmIAAMqoxjJ9P1r50/h65Ne1/BIZ8NXX/X03/oCV9fwz4hVeJccsDOjyqzd732+R5WP4fpZZS9tGV3e2x6NTW706m/4V+uPY+dPmn9lPj4lfGMHgjXpcj/trLX0xXzP+y3/yVf40f9h6X/0dLX0xXnYD+AvV/mTHYK8K/ag/49/Dv+/P/KOvda8L/ag/49/Dn+/cfyjr0ijwOvoD9mAf8S/Xz/01i/k1fP8AX0D+zB/yDde/67Rf+gtQBU8df8jbqf8A10H/AKCKwa3vHX/I26n/ANdB/wCgisGvoKPwI+Xq/HL1CiiitTITcB1OKz/EHh/TvFGj3Ol6vZQ6hp1yAJbedcq2CGB9iCAQRyCARgivCP2ita1qy8cQQ6Z/bk8MPhm9vvL0jVpbJbaVJ4At1KqOPOWMMcptfIJG010PiT4qeI9LtfEuoaW2k3dj4Yhs3ngvA6zap5kSSv5MgOELK4WP5G3SAqRWPOtUzdU3ZOLO9k+GPh6bT47Rra4ZI5TMszXs5mViNpIl37wCOMA45PHNXLDwLoGmtK1tpcCNLaCwlyu7zIAzvsbOdw3SyE5zkuc5rjf+Fo6jdw2EFqtjDf3niTUNBTztzrGIPtOxyoYEnEKMQCOGPTINcl4Z+LPiqPw34Js9Qu7TUda1+G+uxfwaZLKqJbtGpiMMb5Zy0oO4EALG/GcGlzRXQfJN9T2Pw34Q0vwnD5Glwy28ARY0ha4kkREXO1VDMQoGT07Y9K2q858EeLPFvirXYFvrOw0Wzt9Ps7i/sJEeS6WeaFmaIOGCqEcAZw2eRx1qjrVxqVj+0V4XtxrF82mX2i6hI+m+bttlaN7UK2wAbm+ZvmbJG4gYHWlLTQjklezPVKKKK1MgpG6UtI33TQC3JPEX7TPirwjq02jWXwn1jW7WzVIo9Qt5ZQk42L8wAt2GOexNeH+Ivjnr+pftDeGfF8vw81K01OwtZIotBaSTzrlTHKpZSYQ2AHJ4Q/dP4femhr/xJbD/AK4R/wDoIr5u8eD/AIzf8Acf8w+U/wDkC4r86zCjV0bnpzLou59UvhRVm/ag8W+JE/sq6+EWtaVbX3+jyX0sspSBW+UyEG3AwAcnJHTrSw/tIeKPA6jRrD4Wav4gtLXhNRtpZRHLnnIC27DjOOp6V9F+OV/4pHVv+vaT/wBBNUPheo/4QrT/AE2t/wChGvmZUK3+sUI+0d/ZPWy7o9df7i/8S/JnhP8Aw2B41/6Inr3/AH9n/wDkWk/4bA8a/wDREte/7/T/APyLX1JtFG0V9l9WxH/P1/cjyz5b/wCGv/Gn/REte/7+z/8AyLR/w1/40/6Ilr3/AH9n/wDkWvqTAowKPq2I/wCfr+5BqfLf/DYHjX/oiWvf9/p//kWj/hsDxr/0RLXv+/0//wAi19SbRRtFH1bEf8/X9yA+W/8AhsDxr/0RLXv+/wBP/wDItH/DYHjX/oiWvf8Af6f/AORa+pNoo2ij6tiP+fr+5AfLn/DYHjX/AKInr3/f2f8A+RaT/hsDxr/0RLXv+/0//wAi19SbRS7R6UfVsR/z9f3ID5y8G/tOeMPFnirTNJn+EmraRBdzCOS+uriVY4E6s5zbAcAHjIycDNeyM/mOzHqxzW3qjhLV8cE8CsOvYwVOdOL55XZ83m1S8owCiiivUPngooooATuKc3MadMqxGPY0lFS0XGXLddwoooqiAooooAKKKKACiiigAooooAKKKKACiiigAooooAKKKKANLSLj5jEx91rX71zVvJ5Nwj+hrpI23KCK86tHllc+vy2t7SlyvdD6KKKwPWCiiigBmaXdUckixxlnYKoGSxPSufn8XQR3htkHnSFhsYOuxlPct0GD261x18TSw1vau1y4wlP4UbOpZ/s+4/65t/KvF/AeqeKrLSZE0WwiurYykl5CMhsDI+8PavZ9S/5B1wf+mbfyrh/gt/yLM+Bn/SW/9BWvgs6ws8ZnWGhTqSg+WTut+mh62FqKlhajcVLVb/Mq/wBv/ELn/iS235j/AOOU2TXvH7IQ2jW4XHJyP/jlen1HP/qX+hrtrcP4hU5P67U27r/Ixji4X/hR/H/M+WJizTuWGH3HcPfNNHUVNef8fk/P/LRv51D36/rX8V4qnJV5rzZ+x0pXhH0Cuf8AiDd6hp3gHxLdaSJTqkOmXUtqIY/MfzliYptXB3HcBgY5roM470HDfep4Wp7CvCrKN1Fp272Y5rmi4p7nj7z+HPAfhzSL/wAGSWP27VntLQ6hKzTb4pZEU3U6KymRssBvYjDSgFgCQZR408VXd9b6La6lp32mTXpNLGrfYWZHhWwkudwj8wDeHXYcMRlTwOg9Hh8M6Pax3UcOk2MUd1/r1S3RRN1++APm6nr61YtdHsLGG3htrK3t4bdi0McMSqsZIIJUAcHBI49T619p/beE96VSg6knezlZvVaPbp22PO+rT0tKy8jxDwr8QvE2vatDrc+pWtun/CLPdyaWLdzHLcRyzozx5k+X5kUnhjtwue9dLbeKvFEjaHZ3WuaTZ3Wo6dJqrTfYG2gBYgIUUzcgM5JYnJBAwOtejHQdOZoCdPtD9nDLD+5X92GGGC8cZBOcdc0X+g6Zq0MUF9p9peQwnMcdxCsip24BHFKpneDqTT+rJK1tlpZO1tNdwWGmlbnPN/hTr174o8Y6hq2oWv2K8vfC+izywLnarNNqJJGex6j2xXnz+EdSvNF8V+ILaytdLt7WfxJ9r1CC7k+0ajGXuo0hliChSqsUcFyxXygFxuNfSa20Mdw8yxoszqqNIqgMVUkqCfQFmwO24+tI1nb/AGaSBYIvJk3F49o2tuJLZHfJJz65NbQ4nVCvKrQo2UuRW6JRVmvn0vsDwnNFKUu/4nkuqfFDUdG8Y6Dplkyz6e2pWekXqTQImxprbzRscy7mcAxtxHtwSM5BIz774q+LNB8LJ4huf7P1NLrQb7U4LC2tXiMUkCB1BYyNuBB+bgdOK9hbQdNkvVvm061a9VQouTCpkAByBuxnANWI7G2h8kxwRIYQVi2oBsB6hfT8KwWc5fFR/wBlT0Sd7a99baavcf1erdv2nocp8P8AWvEerXGprrMNubNPKksrqIxq8gYNvVkSWTABAIbPIfH8OT2fpiqOmaPp+iwvFp9ja2MbNvZLWFY1LepCgc1e/nXyuYVqeKxDq0YckXsvkdtFOnBRk7sVqafypfx/Wj9a8xRa6HRdDtN8W/HHTVmt/Bng3SdU0FZD5N1dTIHc8bsgzp3z/DVz/hP/ANpv/on2g/8Af+P/AOSq9n+EP/Inx4/56v8AzruK/uDhjDzlk+GkptXitD8TzD/eqnqz5ffx9+03tOfh7oWO/wC/j/8AkqnfsE+Z/wAID4pEqhJP7bfco6A+VHkV9Oyf6s/Svmr9hf8A5E/xj/2Hpf8A0Wle66MqeJp3m5b7nm9T6Zooor3SjwT9qH/XeG/925/nFXhVe6/tRf6zw19Ln/2lXhVAH0X+zL/yLOr/APX2P/QBXsteN/sy/wDIs6t/19j/ANAFeyUAMo9earXt7HZwl3kRD/D5jhQT6ZrI0rxRHq18sMEWMZ8wyOBtIB4UDO76jj37Vx1MVSp1I0pytKWyLjTlJcyWiOb+Nmf+Ebtf+vpf/QXrPsPEHjmO1iWHRrdoggC57jHH8dX/AI2Z/wCEdtP+vlf/AEB67jRlzpVpx/yyX+Qr86qYCrjc/wAQqVeVO0Y/DbX1uj2lWjSwcOaCldvf5Hn/APwkXj84/wCJLb/p/wDHKxPGWr+Lbvw/cx6rpkNtZMU3SKRkfMCP4j1OB0717QRXG/FjH/CFXvH8Uf8A6MWs8+yTE0csrzljJySi9Haz02eg8HioSxFNKlFarv39TwSiiiv45cXfY/XroPvNXlvxiupX8WfDvSb5o08Kanqc8WqNJN5SSuLWVraBzuG5HkH3DkOVVTnOD6lUF9Y2+pWslteW8V1byDDwzIHRhnOCDweQK9jK8WsDiVXnG6Sa81dNXXmr3Rz1qftIcqdjzm+1aLw/e22i+G9R0zQdHgs7q+a5uF863DRzKHiH7xQiqWbIBG0YA24rA0f4peKdY02bWgdPtLO2udJgaya2dpH+1wWryfPvG3abg4+U5wM+/rMvhjR7q0gtZtJsZrS3OYbeS2RkiP8AsqRhfwq41jbSeYWt4WMrrJJuQHey42sfUjauD7CvpIZzgYw97D88urlZvfXpq2u+3Q4nh6jek7LyPGdN8TeLNJsb6Jtdsr++uvFP9lRyTWT4tY2JyQnnHOABtXIAx3zxcn+JPiGHWJnNxp4jg8S2+gHR3tXFzNHIYladX39QkjTAbSvlqcnqw9UXRrBbqS6FlbC5ldZJJvJXe7KMKS2MkgdD2obRdPbUl1E2Nsb9V2C78pfNC+m/Gce2av8AtzAupzzwqenZLXTy206a9g+rVLWUzxPxBJJH+yXrDxlvNXTJsMrFTnzG71fh8O3PgnVPD9xdQW+jadN4hluoNLspGnhso10q6D7flXhmRn2qoGScck17C2m2klm1m1rCbRhtMBjBQj024xUk1vFM0TSRq7RMXQsuSrYIyPQ4JH0JpUeI1RjUpey92bm36SVkvkwlhL2d9Ul+B4Z/wunxHNpuqS2gtWYR6PcWcl3aonyXl4sDFkink42HcoLBsnnNaV58SPEun69ceHTNZ3N5Fq8lkl9HAkTPGtja3QVY5Jgu/wD0hh94/LGTt649TtfDOkWMbx22l2VvG7KzJFbooLK25SQByQwyPQ81Je6DpupwyxXmn2t3DK4lkjmgV1dwoUMQRyQABn0AFa/23lfM19UVvle9o26eT08yPq1b/n4ReGrq/vtBsp9Vhigv3jBmjgYMgb2wSP1P1Nah4qKC3jtbdIYI0ghjG1I41CqoHQADoKl9K+FxElUqynBWTb07HqQ92KTdw71Wv5J4rG4e2iWa5WNjFGzbQ7Y4BPbJ71Zpp75qsKn7eF+6/Mmrbkl6F5fiJ+0qqgJ8OtF2dv3yHj6/aad/wsb9pj/onWi/9/U/+Sa+m7X/AI90/wB0VLx9K/vPDYWo6MH7V7I/CpL3mfH/AMQvHn7Qd54B8SQa34D0iz0aXTblL24jlQtFAYmEjDFweQuT0PToa9T/AGNOP2evDg/6aXX/AKUyV3Hxt/5I147/AOwDff8ApO9cR+xp/wAm8+HP+ul1/wClMlVTpSp4tKUnLR7+pPU9uooor2xnx38V/wDkomv/APX039K5Ouo+KB/4uF4g/wCvyT+dcu33T9KAPtLwD/yInhz/ALBtt/6KWt6sHwD/AMiJ4c/7Btt/6KWtuSRY1LMwUDkk0AH8VZfif/kXtS/69pP/AEE1n3ni2G3uGgiVZpm/1R81Qjcckt/Dj3/DNXvE2T4d1H/r3k/9BNeNiMTSxGHrRpyvyp3+5m8Kcozi2rXPJfAuq+KLHSGTRtPhu7bzWJd+u7jI+8Pauj/4SLx/j/kC2/6f/F1d+DOf+EVk4/5eG/kK9AAHpXweQZJiK+W0akcZOKa2VrLyV0ezjMVCOInF0ouz31/zPMW8QePjGwbRbfH4f/F15FMxaZyy4bccj0Oa+p7jHlNx2r5auv8Aj5m/3z/OvzPxKy2rgoYd1K8ql2/itp6WR9Fw7XjVnUtBR22uR0UUV+Ccr7H3dznPiPe6hpfw/wDEl5pIY6nBp1xJbbV3HzFiYqQMHJyBxjmuJ8zwx4D8Ix6r4UutPF9eLZxtfTXTSiaOe5iiN3ON4MpXzixdjnkjcN1er7ec4rPt/DulWy3aQ6XZwpd5+0rHboonznO/A+bqevqa+qy7MqWFo+xqwbXNd2dlJaaS7pdPVnBWoynLmi+n3eh5TZ/EbxZeeOJ/CqXGn+XFqbWSa59jJWWMWMVwQIxL99WcqTnHzA44Iq54d8SeIta8X+DrqfVbeGzutEvpbmxS2YJPNHPbruGZODh+ODtG8c7sj1C10XT7CG3itbK3torfd5McMSqsWc52gDjOTnHrQdHsWltpGsrcvaljA5iXMRPUpx8ue+K9j+3sFGV4YVJWtsrvRq+3V2duhzfVqttZ6nknh34geKNU07weuoaxpOnS69ocuuyag9iVhg2LakW6qZhn/j4dixbonAHUa3wv8QTeLNeXWrhFgm1Hw3pl3JFHnYjyeazBeTwCTXoN3oOm39lFZXOn2tzZw7THbzQK0ce0YXapGBgHAx0FW1tY1maVY0ErKFLhQGIHQE+gya5sVnODq4eVOlh1GUuq005r9u1l8vMuFCpGalKd0v8AI+br7wjqV1oPjLX7WC30u3t38TLeXkUpafUkM10kcci7BgRkLtJY42ADGcV2On/EjUbXV9A0yybfYxzWOnXQltkVQ0lqspCv529mAZDkR7ecc8kevfYbf7PLB9nj8iTcZItg2vuJLZHfJJz65NVW8PaW18l6dMs/t0YCpdfZ081QBgANjIArvrcS0MXeOJocyV+XbS9rXuuhnHByj8Erdzxy4+L/AIn0mEX0yWeow3ljrc9vaQWjq8LWVykcZLeYd4ZXJYYXoMEc16D8PtW8Rap9rbWUhNtsha2mRUR2ZgfMBCSSDb90qSQfmwc4yeqXTbNWRhaQBow4QiNflDnLgccbiAT645qLS9E07RVkTT9PtdPSQ7nW1hWMMfUhQMmvMxubYPEYeVOlhlGT62W17+Wy08zanQqRmpSndIvUUUV8VZ9j07ieuabpfi74z6NJeW3gnwbpur6GJsrd3M6b2com4YMyEAdOn40/rmvavgj/AMizd/8AX23/AKAlfrfhtTdTOuVOz5XqvkfI8SO+DXqjyP8A4WN+0v8A9E60X/v6n/yTSf8ACxv2l/8AonWi/wDf1P8A5Jr6i4ptf1X9UqW/iv8AA/Lz5V/YyutSvPGXxSn1m2Sz1iXU995bx8rFMZJDIo5PAbI6np1r6sr5o/ZZ/wCSsfGj/sPTf+j5a+l6vL1bDxXr+YLYWvC/2of+Pfw5/vXH8o690rwr9qD/AI9/Dv8AvT/yjr0xnglfQf7MYP8AYutn/p4jH/jpr58r6G/ZjX/in9aP/Tyo/wDHaAM/x3/yNup/9dB/6CKwa9l1T4a6drGpXF7NcXQlmbcyoygDjHGV9qrf8Kh0n/n6vf8AvtP/AImvVp4qEYpM8OphKkpNo8jor1z/AIU/pX/P1e/99p/8TR/wp/Sv+fq9/wC+0/8Aiav63TI+p1TxebR7C4vvtstlby3nkNa/aHjBk8liC0e7GdpKqSOhwKyv+Fe+F/tum3n/AAjul/a9NRIrKb7JHvtkT7ixnGVC9gOle+/8Kf0r/n6vf++0/wDiaP8AhT+lf8/V7/32n/xNL61TD6pWPB18C+HF16TXBoWnDWZHEj6h9lTz2YLtDF8Zzt4znpxVS6+F/g+8sZbKfwvpE1pLdNfSQPZRlGuGzulIxy5yct15NfQf/Cn9K/5+r3/vtP8A4mj/AIU/pX/P1e/99p/8TR9aplfVap4tp2i2GkKRY2VvaAokZEEYT5UG1F47KOAOwrJu/hv4Uv8AxJH4hufDelXGvRsrpqclnG1wrKAFIkI3AjavfsPSvf8A/hT+lf8AP1e/99p/8TR/wp/Sv+fq9/77T/4mj61TF9UrHkdFet/8Kh0n/n6vf++0/wDia57xh4N0fwrbWsrG+uTNOsO0TIuMgnP3D6Vy4rNcNg6TrV3aK3di4ZfWqzUIq7ZwtI33TXrUfwl0iSNW+03vIz99P/iad/wqHSv+fq8/77T/AOJroWNpTipLqR9SqxOt0P8A5Ath/wBcI/8A0EV83+PP+T4PAP8A2D5f/RNxX0ta262lrFAuSkaBAW64AxXzR49/5Pg+H/8A2D5f/RNxXy+P1jH/ABL8z3FpFH0H44/5FLVv+vaT/wBBNZ/wv/5EvT/90/8AoRrQ8c/8ilq//XtJ/wCgms/4Yf8AIl2H0P8A6Ea+bl/yUsP+vT/9KR60f9xl/iX5M63aKNopaK+3PLE2ijaKWigBNoo2ilooATaKNopaKAE2ijaKWigDK1iT5I19TWTV3WJM3QXPCiqVejRVoI+LzCfPXl5BRRRW55wUUUUAFFFFABRRRQAUUUUAFFFFABRRRQAUUUUAFFFFABRRRQAUUUUAFFFFABW/p8nmWqZ645rArW0V8xsvoa5qy9257OV1OWry9zUpaSlrgPrAooooAiljWRCrruUjBB6GuJmli0/WZoPsGlyJ5i7Gd9jRZA4OIyAc89e9dw1cVqjpb6hdW09w1lbXTgs0kJKuSAPlkBwvTGGwc9K+ezbSNOa0ae+n3anTR1ujq9Q/5B1x/uN/KuI+Cv8AyLM//Xy3/oK12uo/8g2fnP7pv5VxPwV/5Fif/r5b/wBBWvIxH/I+wv8Agl+h1U/9zqeq/U9E7mkZQynPel9aaTgV9tI8w5t/hv4ekZmbTYyzHJO5v8ab/wAKz8Of9AyP/vpv8att4hZXYeT0OOtJ/wAJI3/PH9a+dlluUt3dGP8A4Cv8jp+tV/8An4/vZV/4Vr4c/wCgZH+bf40f8K18Of8AQMj/ADb/ABq1/wAJIf8Anh+tH/CRN/zxX/vql/ZmU/8APiH/AICv8g+t1/8An4/vZV/4Vn4d/wCgZH/303+NH/Cs/Dv/AEDI/wDvpv8AGuM8H/tC6L4y8UeK9Chs7uwuvDj4uJL7YkU8fmSxmWJldsoHgkB3bSMAkYZSY/A37Snhbx14Ng8TxSPoul3E8kMJ1p0tnk2HhwCxwrAqwBw2GG5VORVf2VlX/PiH/gK/yH9ar/8APx/ezt/+Fa+Hf+gZH+bf40f8Kz8O/wDQMj/76b/Gsy6+KmmabdXMWoTW2nRQtGq3F1dxIkrOjOFX59wIVGPzAZAJGQDVBvjr4T/tTQ9PXWLGS41tJH07y5wy3IRlVtjDKk7mAxnk5xnFH9lZT/z4h/4Cv8hfW6//AD8f3s6L/hWnhz/oGR/99N/jR/wrTw5/0DI/++m/xrNT4s+H5JL1F1bTmexG66UXaZhAOCX54GeMnvxSr8WPD8mnT6gmq6dJYwyeVJcpdo0aPwdpYHGeRxS/svKf+geH/gK/yD63X/5+P72aX/CtPDn/AEDI/wDvpv8AGj/hWvhz/oGR/m3+NZN38X/DmnW9vcXWs6XBBcxrLDJJexqsiMcKyknkE9xxVyb4jaVa6pDpst5ZpqEyeZFatcL5rrgncFzkjAPPsaP7Lyn/AJ8Q/wDAV/kH1qv/AM/H97LP/CtfDn/QMj/Nv8aP+Fa+HP8AoGR/m3+NVtH+JGleIGnXS7yz1FoCFlFrcLJsJzgHB46H8jWn/wAJIf8Anh+tL+zMp/58Q/8AAV/kH1uv/wA/H97K3/CtfDn/AEDI/wA2/wAaT/hWvhz/AKBkf/fTf41a/wCEkP8Azw/Wj/hI2/54j86P7Myn/nxH/wABX+QfWq//AD8f3su6To9rotqLazhWCAEkIpJ5P1rQqrp939ugEpXbzjGas7a92jCnTpqNJWitkjncnJtvcH+6fpXzV+w7/wAiz43/AOw/L/6LSvpWT/Vn6V81/sQLs8PeOUPVfEEoP/fC1yV/95pfMR9L0VXa6ijZ1aRVMa72BI+VeeT6Dg/lSWt1DfW8VxBKk0Eqh0kjYMrKRkEEdQRXpXQHhv7UX+t8N/7tz/7Srwqvdf2of9b4a/3bn/2lXhVMD6L/AGZv+RX1X/r7/wDZBXsbV49+zR/yK2qf9ff/ALIK9joAzdWsUvLGRHijkbadnmAEBsdeQcflXNeFbwTXsUZstMWVYzuuLaQ72xwWUGMZBPo3euq1KEXFhcRsrOroylUOGII6D3rl9DmjutVtYbm7AurVWMVrJB5UmdpUk84bgn7vFfNY28cZSa0v6a6+f6HTT1g7mZ8bP+Rctf8Ar6X/ANBeu40X/kE2n/XJf5CuI+N3/Iu2v/Xyv/oL13Gi/wDILsx/0xX+QrzMD/yUGK/wwOur/udP1f6F30qjqml22sWclrdRCaB8bkbvg5H6ir3GKrX119kt3l279uOM+pxX2FWEKkHCorxe6PMTcXdbmD/wrXw7/wBA2P8A76b/ABo/4Vr4d/6Bsf8A303+NW/+Ei/6Yf8Aj1J/wkX/AEw/8er5/wDsrJ/+fEP/AAFf5HT9cxH/AD8f3sq/8K08O/8AQNj/AO+m/wAaT/hWnhz/AKB0f/fTf41b/wCEi/6Yf+PVQ8QePIPDeh6hq1zbSPbWNvJcyrEQXKopYgA4GcDjJFP+ycn/AOfEP/AV/kP63iP+fj+9kn/CtfDn/QNj/wC+m/xo/wCFa+HP+gbH/wB9N/jXmes/taeFdF+B9r8UHsNUn0e4g89NNhjjN+CoZpojGXCh4ljmaQb/AJRC/JIxXorfErR01iPSXvbNNUkGVszcqJTxnhevTmqeT5St8PH/AMBX+QfW6/8Az8f3sn/4Vr4c/wCgbH/303+NH/CtfDn/AEDY/wDvpv8AGud0P44aDquj6Te3strodzqUKTw6ffajbNNtckJgxSOjBipwUZgfrxU+mfGnwvqV34jtLbVbMzeHbgWuqLJME+yyGNJAGJwMbZU5HAOV6qQF/ZOUf9A8P/AV/kT9cxH/AD8f3s3P+Fa+Hf8AoGx/99N/jR/wrXw7/wBA2P8A76b/ABrMn+Lnhy10uDUptX06HT5ywiuZLtFjkK53BSepGDnHoaluPipoNrNYwzanYRy3yq1qrXSgzhvulOfmB7Y60f2Tk/8A0Dx/8BX+Q/rmI/5+P72Xv+Fa+Hf+gbH/AN9N/jR/wrXw7/0DY/8Avpv8ao23xU0G81j+yoNUsZtTzIPscd0hmyhIcbM5ypByO2OaZF8WfDs1vdzx6vprw2bbbmQXibYSTgBjng54570f2Tk//QPH/wABX+QfXMR/z8f3s0f+Fa+Hf+gbH/303+NH/CtfDv8A0DY/++m/xp2n+MrXVrOO7smiu7WUZjmhkDow9iOtWf8AhIv+mH/j1L+ycn/58Q/8BX+QfXMR/wA/H97Kf/CtfDn/AEDo/wDvpv8AGj/hWnhz/oGxn/gTf41c/wCEiP8Azw/8eo/4SP8A6Yf+PU45Xk99KEf/AAFf5C+uYj/n4/vZtooVcDoOKfSL0pa+kjZKyOY4n42/8kZ8ef8AYBvv/Sd64X9jH/k3nw5/11uv/SmSu5+N3Pwa8eD/AKgN/wD+k71w37GX/Jvfhz/rrd/+lMledL/fI+j/ADEe4UVUbULaNVZp4wrv5SsXGC+SNo98gjHtVuvSuM+M/iT83xA8Qn/p+mH/AI8a5puldH8Rv+R+8Rf9f83/AKGa5w8g0wPtLwH/AMiL4c/7Btt/6KWtqSMSIVcBlIwQRwaxvAa/8UP4dB/6B1v/AOilrc9algcFdmLTdYu7cWWlTxs6tH5z+WY8qBtOIyByCRk966bxN/yLuonp/o0nH/ATXPa35UN1f21zcGys7wjzJJYMq2VCnbIDheB/Fz6V0PiQf8U5qQH/AD7Sf+gmvkaTapYqF9En203001+87n8UH/XQ5f4L/wDIqy/9fD/yFd+a8/8Agt/yK8o/6eH/AJCvQP4q6OGf+RRh/QrMP96qeo1owylTzXMv8N/DzuWOnR5Jyfmb/Guob1rDbxAAx/c9/wC9XqYzC4TEpLF01K211c5KdWpS/hya9Cn/AMK08Of9A6P/AL6b/Gl/4Vr4d/6Bsf8A303+NW/+Ei/6Yf8Aj1J/wkX/AEw/8ery/wCysn/58Q/8BX+Rr9cxH/Px/eyp/wAK18Of9A2P/vpv8aP+Fa+HP+gbH/303+NXP+Ej/wCmH/j1cVoHx60TxB4w8YeG0guLK/8AC5hN694oSKSOSISCWN8kMgBKknBDKeMYJpZTk72w8P8AwFf5D+t4j/n4/vZ1P/CtfDn/AEDY/wDvpv8AGj/hWvhz/oGx/wDfTf41xHgP9pbwr468FxeJwZNA06S6ntFXXXjtpN8UhRuNxGMjPJzg8gHiugk+Lml2mqX9rfCHT7a1it5Evri9gEVx53mbQgDlwQIjy6qGz8pbDYP7Jyj/AKB4f+Ar/IX1zEf8/H97Nf8A4Vr4c/6Bsf8A303+NH/CtfDn/QNj/wC+m/xrm5vj94Oh17QdHOuWLX+uxyy6dHHNvW4WMqHIcAqOWAGSMnIGSDjXX4qaA0moINTsS+no0l4BdIfs6r94vz8oHfPTFH9k5P8A9A8P/AV/kL65iP8An4/vZe/4Vr4d/wCgbH/303+NH/CtfDv/AEDY/wDvpv8AGsuP4veGprG5vY9a02SytpfImnW8QpHJjOxmBwDjnHWlvvi74b0uGzmvNY022hvEMltJJeIFmQFQWQ5+YAuvI/vCj+ycn/6B4/8AgK/yH9cxH/Px/ezT/wCFa+Hf+gbH/wB9N/jR/wAK18O/9A2P/vpv8arXXxI0ex1aHS7i/sodSmAMdm9yolfOcYU884P5UaP8SNH8QS3EemX1nqElucSra3CyFPrjp3/Kl/ZOT/8AQPD/AMBQfXMR/wA/H97LP/CtfDv/AEDY/wDvpv8AGj/hWvh3/oGx/wDfTf41b/4SL/ph/wCPUf8ACRn/AJ4f+PUv7Kyf/nxD/wABX+QfXMR/z8f3spD4a+HW/wCYZGP+BN/jWvo+h2Wg2rQWMCwRM28qpJ5IAzz9BVX/AISI/wDPHH/Aq0dOvvt0Jk27cNjGc124TA5fh58+GpRjLukkyJ4irUVpzbXmy7SNS0jdK9p7GB80fstf8lY+NH/Yem/9HS19MV8zfsssP+FtfGle/wDbsx/8jzV9INeQCdofNQSqgkZNw3BTkBiPTg8+1edgdKCv3f5iRZrwn9p8/ufDv+9P/KOvb7W6ivIVmgkWaJxlXjYMpHsRXh/7T/8Aq/Dv+9P/AOyV6Qzwavon9mUf8U3q5/6ewP8Axwf4187V9G/syj/ildVP/T7j/wAhpQB7HRRRQAUUUUAFFFFABRRRQAUUUUAN7V518Zf+QZpf/X6n/oLV6L2rzr4y/wDIM0v/AK/U/wDQWr5Dir/kUVfl+aPQy/8A3mHqd/af8e8f+6KmWobT/j3T/dFTrX0uH/gw9EcMviYjV8wePf8Ak+D4f/8AYPl/9E3FfT7V8wePf+T4PAH/AGDpf/RNxXJjvhh/iX5kS2PoPxz/AMilq/8A17Sf+gms/wCGH/Il6f8AQ/8AoRq/44/5FHV/+vaT/wBBNUPhf/yJWn/Rv/QjXzsv+Skh/wBen/6Uj1Y/7jL/ABL8mddRRRX255YUUUUAFFFFABRRRQAUlLSN900Ac5fNuvJD74qClkbdI7epJpK9WOiSPgK0uapKXmFFFFWYhRRRQAUUUUAFFFFABRRRQAUUUUAFFFFABRRRQAUUUUAFFFFABRRRQAUUUUAFXtHfFwV/vLVGp9Pk8u8j54PFZVFeLOzCS5K0H5nR0tJkUteYfchRRRQAw1w+oaakusXV/DLHamF1E8xfzS2ACRsKkDjH3cGu3rz+4WDTfEk0C6daqpVmgRbPJMg8va24eu5vTG2vnM4s401O3Lf8en4nVQvd27Hbahzp1xjn9238q86+Eetafp/h2eK5vYLeT7Qx2ySKpxtXsTXomo/8g+4zx+7b+VeUfDfwLpXibQ5Lm9id5VmZAVkZeMA9j718xnE8ZTznCywUVKfJLRuytdHoYZUnhantW0rrZX7np3/CWaN/0FLT/v8AL/jR/wAJZoxB/wCJpaZ/67L/AI1z/wDwqHw7/wA+0n/f5v8AGkb4Q+Hf+faT/v8AN/jXq/WeIeuHh/4Ezn5MH/PL7l/mOdg0jFTuBOQRSUyG1jsolt4l2xRDYq+gHAp9d8XJxTmrPqeZK13bYKKK4LxN8TrvR/GUnh3TPDF7r1zBp66ncPb3EMQSJndFCiRhubKHj6c1olck868Sfs9634iWSEXtvZ2+o63qS6rskfM+i3kyyTwArjDuIkT/AGQ7EHI5k8U/B/xrd6Xf6XpdxYR6VqV3rJurUSrEzLdBfszeYYmYImH3xptLbk+YhSrd1p/xu0HUWmuwzf2T/ZOn6rDLFHLNdOLqS5RUNvHGWGPsx5BYk78gBMtLrnx48C+HNHsdU1DXPJs7yOaaHbZzyShInCSs8axl4wjsqsXUYZgDyQK15proB57dfAPWtUuvBf24WF3b6TqWi312s0hfeLSwuIZMAryfMkQjPYE8VreHvhHrHhnUPD11FZafciz1nX5ZYVl2eTa3+ovcRyJ8hyyRlcpxycA8Zrtv+FzeDf8AhIhoR1tV1T7RFaPE0EoWKeWNZIopHKbY3dZE2q5BYsAMnijTvjR4K1W41GO31+3KWEdxNPdSJJHbBIG2zsk7KI5BGeGKMduDnFPmn2A8bh/Zu1RvhrqvhmbTbeXVLfRp9FsdWm1ieSK5jmljaTMDAiIP5KMw+bB6d67PW/hr4r0/WtcuvDQsLWwvtWsLh7ZXWJ3tIrQQyIjGNxE+8RncFJKKwBUkEdhefFjRbWx0rVDMLbRLr7U015qKS2bQJBC8rt5UkYYjEZPO3jkE10fh3xFZeKNLj1DT/tH2ZyQv2q0ltX4/2JVVgPcjB7UuaV7geHfDf9n3WfDPhG50vV49Nu7n+wr/AEuB1cyhGmvbqZACyghfLmiB+hGOK6DwR8M/EXhPWtWjmhsbuz1xLSaXVFuCt1p0kOnw2jJGpQ7xuhMitkYMr5Hrc0H9oKx13wL4y8Trol9BaeH7eXUIIpCobUrHymlguYj0CTKjbQ2CMc4pnir9oBfAGj+JLzxP4T1TSZtG0SbXVhWa3mW8hibbIsTpIfnUtHkMF/1gxnmnebdrAQfAf4Nv8Obewk1PTFh1rTNGt9BGoxarNcpdwR4ORE4AjG5dwU5K7mAOCc+xV5jrXx60jRfB3hTXm069kbxBewWEenfItxbSO+yUSDdgeUQwbBPK4GcjPp3HbpWUr3uwCiiipAlh8feGfD8f2TVPEWk6ddg7jBd3sUTgHodrMDU3/C2vBP8A0OGgf+DOD/4uuA1P9l/4eePNUu9c1jR5rjUrt900q3kyBiAB91WAHAFQf8MX/Cn/AKAVx/4MJ/8A4uuyE8XyrlgrepZ6JJ8WPBOxv+Kx0Hp/0E4P/iq8V/YjmS48P+O5InDpJ4glZXU5BBRcEV0r/sY/CkKT/YNx/wCDCf8A+LrmP2ILKLTdD8dWMC7be316SOME5IUIFHP0ArFyrPE0/axS32fkT1RuePcN4yjsPFPjTw1pE8dos8Mt7YvbJdQtIytA/wDpi+YgKqSjcEkccGvavDckcugadJDdWt9C1vGUurEBYJV2jDxgMwCHqMMeCOTXEeOzef8ACR4uZfEMWm/ZFW1/sJT/AMfBZtxfbySAEwGGzr1ycdn4TbUm8M6SdYAXVfssX2sDGPN2Df04+9mvQo6VJFHjv7UX+s8NfS5/9pV4VXuv7UX+t8N/7tz/AO0q8KrtA+jv2Z1x4U1M+t3/AOyCvYq8g/ZpH/FI6h/19n/0EV6/QBS1SRIdPnkk+4sbFuSOMc8iuT8O6SdK1S2KTxW1tMGCWg/fMxwTnzCAw4Hcmup1iFLjTbhGgW6BQ/uW6PxwK5bwrJEt5bpDaw+flhNLDZmDYm0EDnpzgYySevavmMfb67R5/lvvdHXTv7OVih8bv+Rbtf8Ar5X/ANBaun0fxBpqabaq1/bKwiUEGZcjj61zPxs/5F21/wCvpf8A0F6fp/wn0G6soJHim3PGrH96epFfKzrZhTz/ABH1Gmpe7G93b9D0oxoywcPaya1eyv28zsP+Ei0rvqFr/wB/l/xqpqWtWF5ZyRQXlvLIcYVZFY9R2BrC/wCFP6B2hmP/AG1amyfDHRdHUXkEUvnQsGXdKSAcivc+tZ7LSpQgo9XzPb7jjlTwdnyzd/T/AIJNRRRXo6nlhWJ440afxF4M17SrUoLm9sZ7aIyHC7njZRk9hk1t15RZ/HoSNHdXXhTVLXw/L4im8NJrCzQSRLcJeyWKvIgfzER7iMICFb/WKTgZIuKb1QHm+tfsweIJtL8caZZXlj/ZGq+GrwabYMdq2+tXdiLS4cnacRERLJkc77mckHIrtdZ+HvjXWPiVZ39y9rNolprkGpW8iXIiENukHlmPyli3PIWLEuzkYOBjgV0WlfHTQF8I6JrmvzxaNFqjMEkg867tY8TGJWkuBEqxgnHMgQZJ54zW1J8WPDEfiiLw99vmbU5Z2tkWOyuHhaVUZ3QTCMx7lVGJG7I2nPSteefVAeIeDf2b/Emh/C19DvF01tXXwNpnh6GZJSQl1BJcvIQ23IT97HgjqV6DArpvF/wP1rXbTxzZ2/2NY9Y17SPEdvN9paIzNaLYrLaS7Vyof7CSJATgzA4+XnvvDvxu8E+KtJvdT0vXY7mws7SK/luDBKiG3k3eXIhZBvVijAbc8qV6jFNj+OHg2azedNUuHdbsWLWQ065N4sxjEoQ23l+cP3ZD5242nOcUc077Ac74Z+D66brGi6l/ZUdgP7RvNT1K3uNRkvm86W3WEOruOpCLkDA5J6k1w8XwV+INr4d0Pw801hc6VaW2nwrFFciJLd4L15pGY+UXlBj8tUXcqqVPy5O6vW5Pi9othda4moymBLDUo9OhS0imu7idms7e5yYI4y6kCflQGwoViRu2jX8feMk8C+FrjV/sM+pzK0cNvYWzKslxNI6pHGpbABLMOT0GT2pc07qwHlFn8A9ShvNNuNtlbXC+ONa8QXF1A2Jfst3aahBEQcAlwbmDK5xhTzwKjX4R+KpPAnhLQ5NJ0q2k8J3UEkX2HUJIBqixQzQ8MqboM+asgBLYZcH+9XWf8L2g1Sz8CT+HdCu9ek8XWUt/awrPFA0CRpG0iyb2wHHmBSueCpBrMb9qLw3HDosz2V5FHdavPompeY0QOj3MU8UDrcYYjAlniG5SRtcPnbzTTmB3vw38Njwr4Wis/wCzxpkkk011LbC9e82ySyNIxMr8sSWJ9BnA4rqK4OH4uafdfF6XwBDYXcl1DYvdS6lhRbJIvks1v13GQR3EEh4xiVOc5A7ysXfqAUhO3k9KWquqabb61pd5p95H5tpdwvBMmSNyMpVhkexNT6Abp+I3hSPKt4l0dWXghr+LIP8A31R/wsjwn/0M+jf+DCL/AOKryc/sS/C5uf7Nvhn/AKfpP8aP+GJfhd/0Db7/AMDpP8a9BVMX0gvvK1On+MHj3wzefCXxrb23iLSZ5ptFvUjijvYmZ2MDgAANySa5n9k2G+uP2a9Bj065htLtpLry5riAzIv+lSZygZSeM/xCuZ+Jf7IXw48MfDvxRrFjYXkd7p+l3V1A73kjBZEiZlJGeeQK7L9jX/k3nw5/10u//SmSuanKrLFL2sbPlezv1DqUfCL6ZqHxCS9vPGvhmXW7e+mtToxhKSiVZGR2hiN2ypI4AJZUJPQ85r31eleQ2Z1mHxEi+br8msHVmaRZAf7P+xGYgAcbMCHbjHzbq9eX7or0MPs0M+MviN/yP3iL/r/m/wDQzXO10XxG/wCR+8Rf9f8AN/6Ga52u0D7S8Cc+B/Dx/wCodb/+ilrcY1h+BRjwR4eH/UOt/wD0WtbbLxSA4LWbSO41LUb+CeOy+zkC4unJl6IGI8tlIxgr90g810/iTjw3qX/XtJ/6Aa5PUo4rDVb/AMvTLZpjk28IsyTI+wFWL47txxjGMmus8S5/4RvUsjn7NJx/wE18ZR5fZ4p296zvvvqd8r80DifhHq1lYeG5EuLqGBzMx2ySBT0HrXc/8JHpf/QQtv8Av8v+NeX/AA78BaX4m0Nrq8SRpRMyApIVGABXVf8ACn/D/wDzzmz/ANdTXz2QYnO4ZbRjQoRlC2jcmm16WPQxkMI8RPmm7310/wCCdP8A8JJpmcf2hbZ/67L/AI1zm4MxIOQTwR3pn/Cn/D//ADym/wC/pplrZxafbpbQKViiG1QTnAHvX0tGtmVSVsdSjBdLO+p5VeOHil7KTb81Ymooort1OIK8F8d/A3xHrnia81fRb6zsJ9S1eW21EyEkz6JcWtrHcIMAETLJbKyc4HzA53kV3nir4pXOh+P7Lwjpnhq81/UrjS5dWc29xDCqQpKkRGZGXLFnGBwPeq3hf46aB4q05tWtmdNHGmQ35YpI92jvPNA0LW6oW3LJCyYUsS2RjjJ0jzR1QHGD4S+MNH0yex01rQ6fcazrN3LYw3Cw+ZDdTF7cmUxOyqgJ3Im0scckDBZoPwM1y18QaHd38dhPZ2lpoEM0bPuy1lBfJKQCuD81zEV+h6Yrv7z47+B9P8P22tTay40+4+07THY3DyqLdylwXiWMugjZSrllG09cU+H45eB7jW00hNfiOpGW3ha3MMoMTzxpJbiUlMR+Ysi7N5G4kqMsCBfNPsBw1r8Gtc0b4heHPEdrbadcwWOtaxNLbNKY2S1vRGyyIdpBdHiHycZ3k7uOcLRf2edWsfh3qXhq40+3uNTt/C914fs9am1ieVLvzkQMxt2G2Le0SM33iDwuQST69D8YvB02tXWl/wBtxpc2rTRyyyxSR2weFS8yCdlETOiq7MgYsoRyRhTiC4+LelM3h6a2z/Z2qXs1m9xqEc1k8Xl2k1yWSOWIGT5Yv9kYLMGO3aUpT7Acb4q+F/ii18barrXhf7Ja2NzDo8clpA8UMtytt9vEyB3icREi4tv3ijdtRlBXg1z1/wDs++IdR8KW+nTpprXMfg3xHog3yl1S7v57d4SCUyVCxPlsAjI4Oa908K+LtM8aab/aGlSXElpu2B7i0mti3AOQsqKSpBBDAYPY8VwNj+0Jpl1o/wAR9Qk0m9tv+ENtpb94Xxuv7RUmKTxHptd7a4jAPIMRzximpT7AY9v8KfE1tNrunyQWF7beIdPtbafWZbphPYSR2vkMUTZ8/I3qdw5c5x1rY+CnwxuPAscQ1HSYrO9sdOi0mO6g1aa6jnijOfkifiJc8gckbsZ70up/HdvDDanD4j8Kajo15a6Hda9BH58E8d5DbsizJG6OcOpliyGA/wBYMZ5xX1b9pTRNO+EOn+O49L1C5F4lwRoyhFuontkle7jky21TCLecNyQWQKCSwyvfasB69RRRWIBVmy8WaHoMbQ6lrGn6fcMxcR3V0kbFeBnDEHHH6VWrhdb/AGYfAfxI1u+1/W7C5k1K5dVlkju3QNtRVXgHHQAcelXTlUjJOkk35sZ6b/wsrwn/ANDPo3/gfF/8VR/wsjwn/wBDPo//AIMIv/iq8m/4Yl+F/wD0Db7/AMDpP8aP+GJfhf8A9A2+/wDA6T/Gut1MZ/IvvGc1+ylcRXvxa+Ms8EqzQS6zI6SxsGVlM8xBBHBBFdF8SoYrrxlbab4q8aeG9JeK2F3bve2bW4uIjIwaGT/TF3oCqEqw2segO1gOT/Y70W18M/ET4saRYqyWdhqRtYFZtxCJLKqgnucAV7F49kul8Qobo64mj/ZB9nOhB9xuCzCTzNnPCiLZ/DkvnPGObDpywqb7v8wWx2fhiSOfw/YPDeWeoRNCu2609QsEox95AGYBfTDH614/+1AePD3/AG3/APZK9c8IPfyeG9ObVVddRMK+d5gUPux1YL8obGM44znHFeR/tQH/AJF8f9dv/ZK9uPwoZ4PX0j+zQv8AxR+pH/p/Yf8AkNK+bq+k/wBmn/kSdQP/AFEX/wDRUdWB67RRRQAUUUUAFIzbRntS0yT/AFbfQ0Ac4/xE8PxsytqADKcEeU//AMTTf+FjeHv+gl/5Bf8A+JrxS8/4+p/99v51FXqLBxtueK8dU7I9x/4WN4e/6CX/AJBf/wCJo/4WN4e/6CX/AJBf/wCJrw6in9TXcX16p2R7h/wsbw9/0Ev/ACE//wATXJfEDXtJ8UWdnFZ6lEGhuVlbzEkA2gEcfL7155UF5e22m2stzdzxWttCpeSaZwiIo6lieAPc1wY7JqGPw7w9Zvle/wCZrSzKtSmpxSuj3SH4ieHo41H9ogkD/nlJ/wDE0/8A4WN4e/6CX/kJ/wD4mvDY5UmRXRg6MAQynIIPQ06uyOBhGKinsZvHVL7I9x/4WN4e/wCgkP8Av0//AMTXz54yv4739rjwT4igWaXRLaxlSa+WBzHG3lTDDHbwcsB+IrSorKtltOtFRcmrNP7hfXqnZHrPizxxomo+G9Stre+Ek8kDoieU/LFSAOnrVXwH4y0fSPCtja3d55M6KdyGNzjk+grzCiuB5FSeYLH875lFxt0s2nf8Do/tSaoujyre57h/wsbw9/0Esf8AbJ//AImpLfx/oV1cRwxX4eWRgir5TjJJwB0rwutDw5/yMGl/9fMf/oQr1ZYSMU3cwjjajaVkfRFFJ6UteYe0FFFFABRRRQAyo7p/Lt3b0BqWqeqSbbOTH0qoq7SMa0uWnKXZGCtLRRXrHwAUUUUAFFFFABRRRQAUUUUAFFFFABRRRQAUUUUAFFFFABRRRQAUUUUAFFFFABRRRQAU+H5ZUb0YUygcNmk9i6btNM6le2etOqKJt0akdxUi15B+gRd1cWiiigognwsLkkqMZyvX8K4O31GXUrtWj1O4tbRXxm4UGSXnsu35R9efYV3/AN4Vyt94qbT7y5he2QpGxjjkEgyzBA+GGOBjPPsPWvnM2jT/AHc6s+WKfnr16HVRvqoq7Og1H/kG3A/6Zt/KuJ+Cv/IsT/8AXy3/AKCtdPb6kdU0KadkCOPNjZQcjcjMpwfTK1zHwV/5Fif/AK+W/wDQVrx61SNXPMLUjs4St+B1QvHCVE+6/U9Eprcrx1pe5pa+7PLOWfR7xpGPk8Z4+cU3+xrz/niP++x/jXUecn95fzo85P7y/nXn/V6XcDl/7GvP+eP/AI+P8a838VfCXxrdePbjxL4a1zS9Ja60ldLmh1HTXuyu2V3EiMtxGAfn6MGHH4V7f5yf3h+dHnJ/eX86caNKOqYtD5uuP2ZdZ0ncvhrxDLp0B0rSdIeOXess0FnJfO4M0MsbqZDejlCpUxfxBiB5F8SvgT428Iy6XpljBea0sGiX6GaDT7y8g1ia5vPPaxmaOcywKDHFmaeVgwlPI2ybvu7zk/vL+dHnp/fX860UIdxng8vwH1K/h1+WS7S1l1rxFpHiFoljDC3+xvZMYM7hu3fYyN3GPM6HHPNWP7L/AIgaPRNN1fU9I1fw/wCG7O9tNGs5tNcGUTwtAFvh9o2zosbFWVVTfnPymvpzzY/74/MUvnIf4h+dHs4bJisfOdv+zjr83hey0zVdZt9Z+yzXrJb6lDLdW3kXFs8Atj5k5leNQ5JLyFjkjIGMbui/B3xTZ/C3WvC134heW8vxcR29+Glmayhl4EavNM8khUFsOz5yewAFe3+cn98D8aTzk/vD86TpQ6sLHzhffsr3Vvp+tWOia3NZWWp+FZfDJt7qGOZIQFK20iBSmFiDyjyxgEMACuOTx5+zn4q+KXhfxTY+JvEGnHUtV0K50GzuNM0wwwWcc5VpJGjed2kYmOP+NRheBkk19H+dH/fX8xTvOT+8v50ezp9xnzdcfsu3t14p8Q6pJrRktLqeKXSLFrdQulq15Dd3qghx5nny28PXGwRjHVs+0/2Lef8APH/x8f411HnJ/eX86POT+8v51MqNOW7A5f8Asa8/54j/AL7H+NH9jXn/ADw/8eH+NdP5yf31/Ojzk/vr+dT9XpdwKekwSWtmElTa+ScZzWhTVIbkHIp1dsUoxSQDJP8AVn6V83fsX/8AHn8Rf+xim/lX0i/3D9K+bP2NOJPiao6DxDJj/wAerz63+80vmLqjpvjdNdWvijT5raS1hP2M7pNLnkj111D52wqGWN48leJDjJOASa9Z8MPJJ4d015DdtI1tGWa/QJcE7RkyKOA/qBxnNcF4g1DU9O+J0tvH4hjgF9bW8dvanSLi4SD5peXkVhGhc8AkgttAxxk9x4MaNvCejGHUZNXiNnEU1CbO+4GwYkbPOW68+ta0f4s2M8f/AGov9b4b+lx/7SrwuvdP2ov9d4c+lx/OOvC67gPpX9m0EeDLz/r8b/0Fa9ZavKP2bf8AkR7o/wDT4/8A6CtesEZoAxPEl8lhpryu86AEAfZV3OT6cjH51j+GJZ7jUVmuNSkO9TsseGx7s20ZP04+vWum1Kc2djcTgeYYkZwvrgZxXMp4zbz44BaxrccvIvnBlCDZyCByfnHH1r5fHezp4uFWrOyVrLXuddPmlBqK/Iy/jb/yLtr6faV/9Beu50T/AJBdn/1xX+QrhfjVz4bsz/08r/6A9dzov/IJtP8Arkv8hXn4H/koMV/hgdVX/c6fq/0NCqOqQvcWMkaLudscZ9xV6mswXqcV9rJKSaZ5Ry/9j3n/ADx/8eH+NH9j3n/PH/x4f410/mJ/eH50eYn94fnXD9WpdxWOX/sW8/55f+PD/GvHdN/Z58ULCdG1LxBYXHhNfE1x4mSztdOaK7eR9TfUYoZJ2nZSiTOudsalggGRk5+ivMX+8Pzpd6/3h+dXGjTjswsfInjL9jjxR4k+Ftv4FtvGr2mmLpM2nSDZcRx+ZJJIxm8uG5jEnyuF2Sl0+TO3k1X8G+CvGtp8ZLjztN1G609tc1G4SyvNPuI4dPSYSj7Wl2ZBbylg2AgUsBKRwdzV9heYvqPzpfMX1q+Sna1wsfLcP7JOpWvh3SNPh16L7RpfhPSfDsM0lkGjaawnWZLhk83lWZQDHnOM/NzU+vfs5+NvE1xeaxqOt6KPE1xLG8V9Y2NzafYBFBJHEYGjuxJvzNMXLOyurBCoAzX055i+o/OjzF9R+dL2cO4WPm3Wv2bfEd9pmu/Ztet113VNTi1OPWHhlins5V022si8ZhnQ7ibYyFSdjB9jKQMnr/GXwf1jxlb+E7S5127trXR7pL27ktisdxfSxxMsZLKQqgSN5pXaQSi9MV7GZV/vUeYv94fnS9lDuM+arX9mnxP4X1rSb/wz4ltYk0q/1S7tYdcsGvAEv/LkmQtHNESfPWaQHsJduPlFJof7JMFpo95Y6rdDVG1k6zPr0ixeUL641IRiZ0G8+UqiMKqgkgBckkFj9LeYv94fnS71/vD86PZw7geBfD39n3VfBupeGtU1DWf7a1iwtdQTUr5rdYn1K5untmac4Y7NotgoX5uCoBAUCvVf7HvP+eP/AI8P8a6fzF9R+dHmL/eH51Lo0pO7YrHL/wBi3f8Azx/8eH+NH9jXn/PL/wAeFdR5i/3h+dLvX+8KX1en3GKv3R2paKK9ADiPjZ/yRzx3/wBgK+/9J3rh/wBjX/k3nw5/10uv/SmSu4+Nn/JG/Hf/AGAr7/0neuB/ZBWZ/wBm/QRbusU5N4I5HXcqt9olwSMjIz2yK8qX++L/AAsCto0l5a/FeWOOVooJdSlxD4TkMlqRuJdr6OR9qSE43NGhOc5bmvfF6c1454Y1a8murjSrvxesj6fqayXP2fSp4ml826kEaLMzFWQsjRnaGC7SpPGa9kX7orow2zaA+M/iP/yP3iH/AK/5v/QzXNt0ro/iN/yP/iL/AK/5v/QzXON0rtA+1fA//Ik6B/2D7f8A9FrWvI21WJOBjqOtZPgtSvg3QV9LCAf+Q1rYZeuamWqsB57HqE2pXH7rU7mytFP+snAMsnsF2/KPc8+3eur8Sf8AItalg5/0aT/0E1m3XiZrK6uont4vLjbZE5mALNtBAZccAk4z+lTajfNfeFNTd0VHWCVGCklchT0OORXxtGVGnSxFNTvJpt79n3O98zlB2srmJ8F/+RVk/wCvh/5Cu+xXA/Bf/kV5P+u7/wAhXf12cMf8ijD+gY//AHqp6iVzDaNebjiLIz/eH+NdTTfMX+9+te/Vpxn8TOA5j+x7z/nj/wCPD/Gj+x7z/nj/AOPD/Gun8xP7w/OjzE/vD865/q1LuKx4X42+D3jHUviVZ+MfDGt6XpN3Dos2jPBqemveKVkmSUSLsuIsEGMDByOawrD9mDVfCvh+60/wv4im0+4m0+0szeXClppGS/mu7qRnjdGUz/aJVPllCm/KkYAH0j5i+o/OjzF/vD860VOmtmFj4h8ZfAXxd4D03RtIttQ1KeKRNYku9S0/S77UftH2y685rVxFM068NjznlJO3OQ3Nen6D+z5rF1o+t3V5LDpF54h1DQtYl0+GIMmntYx2W63B3/OCbQgNxjeOGxz9H+YvqPzo8xfUfnVezh3Cx806h+zT4i1q8s7HUdV0q78LaZrN7rtjYyacxmknuUu1MVy/n7ZIQbyTKhFLqApI5Jl039m3xDDZ6JFe69HdppOqT39rZXKzXUEUUmnXFmLcNNcNKU3XBkOXPA2KFGCPpHzE9RR5i+o/Ol7OHcZ4f4D+EfjLwb4H8Q6K3iKO4vLuWZtFlkjkmi0iNoESOL99M8kyrIryYZxw+wbVUY4y/wD2O/s+lNZaN4gvrUS+FL7wlcNfLHcCW2niAjfC7DujlBcZPPmSjgvmvqPzF9R+dHmL2YUvZQ3uB87eIP2ffFHjuPUpvFGv6fcahJoN9oNg2l6a1vBbR3XlGWVkeeRnfMEX8SgAEY5zVLUP2T57q48ceTq5hs/EWi3Wn21m0CmPT7q5t0hurlQGG4S+TC5Tj5hIc5c19LeYv94fnS71/vD86fsodxWOX/se8/54/wDjw/xpP7HvP+eX/jw/xrqPMX+8Pzo8xf7w/Osvq9LuFjmP7FvP+eP/AI8P8a19EtZLS1dJVwxcnHHoK0PMX1H50qsG6HNa06MISvFjHUlLTf8ACut7AfMn7LX/ACWD41f9hub/ANHzV1vxsM1v4lsLq3+xwFbXEk2m3Dx666hmKpCAyo8e7nbIxXO7jNcl+yz/AMli+NX/AGG5v/SiavStcvtV034nNbp4jt4W1O1hitLE6VNc+VsM7FnZXCx7+QCxG/yyAPkrw6P+7Jeb/MlbHb+D5Jp/C+mPcNfNM1uhc6nGsdyWxz5ir8ob1A4ryL9qD73h/wD7bf8Aslev+FWVvD9iwvZNQUxg/aZVKvIe5IPIOeMHkYwea8f/AGn/APWaB9Jv/ZK9qPwoo8Jr6T/Zp/5EfUP+wi//AKKjr5sr6U/Zn/5EnUP+wi//AKKiqwPXKKKKACiiigBG6UyX/Vt9D/Knt0pkv+rb6f0prcT2PnC7/wCPqb/fb+dRVLd/8fU3++386ir6OOyPlXuFFFFMkK8r+LMdkfHXgiXxJZNe+DoVvpJhJCJraLUNsX2WSZMHgR/awpwQHZeh2mu4bxz4cj8RNoDa/pi66pAOmG8jFyMqGH7vO7lSD06EGts4bjqPzqJWkrFxbi72PB9X8Q6fohurDw/qVx4S8OQaW1zo1vo2mbI7m5M0/mqEMRDfMqkIAM788hs1HqWv/EGHRfG+sJcXYvbbU9NsLTTXjWKC3glt7BrqUOInY7TNcfPh9m1jtbbtr3tmSNS7sqqvJZjgD3zS9OelZ8j7miqJdDhPg7eeIb7w7eS+ILyyvibtvsctndvckQbV4kkaCDcwbf0QcbeSc13lJwOAMCsnSfGGha9qF7YaZrWn6hfWR23Vra3SSSwHJGHVSSpyCOfQ+lar3VYyd5Nuxr0UUVRIVoeHP+Rg0v8A6+Y//QhWfV7Qd39t6eEOH+0R7T77hioqfCy6fxI+iPTFLn1r5iuvBv7Tpupjb+OtAWAuxjVoYchc8D/j09Ki/wCEL/aj/wCh98P/APfiH/5Er4r63K9vZS+5f5n1J9Q596M+9fL3/CE/tR/9D54f/wC/EP8A8iUf8IT+1H/0Pnh//vxD/wDIlH1uf/PqX3f8ED6hz70Z96+Xv+EJ/aj/AOh88P8A/fiH/wCRKP8AhCf2o/8AofPD/wD34h/+RKPrc/8An1L7v+CB9Qc1n6sx+zgep5r5v/4Qn9qPP/I+eH/+/EP/AMiV6H8MNG+JOj6fqC/EfXbHW7mSVPshsY0VY1AO7O2KPJJI6g9K6sLXlUqqLg15s48ZLloSO1ooor6E+HCiiigAooooAKKKKACiiigAooooAKKKKACiiigAooooAKKKKACiiigAooooAKKKKACiiigDorNt1tGfap+4qrprbrSP6YqzXky3Z9/Rd6cX5D6KKKk2I2Ydc1w3iCx1GbVmlAxbFtiLFbRyMcBSNxIJAPzjPAGBXZ3QT7PIHzs2nODg4x61xSteskeqSRRiyYK/2dZ5fNCcYJO7aWx/Dj8e9fNZvJSUaTv30fRd/I6qF4tyR1d1BHa6TLHEixxrE2FAwBxXHfBT/kWZ/wDr5b/0Fa7fUP8AkG3H/XNv5V414D8Q69pGkSRabpP2+3MpbzMnhsDI/T9a+ZzfHUctzjCVKifLySXupvquiPQw1GVfC1FG17rd279z3Gmv9015t/wnHi7/AKFz+f8AjSf8Jx4ubj/hHP5/416kuLMDa3LP/wAAl/kYf2fW7x+9Hmd9e3P2y4AuJQPMb+M+tRfb7r/n5l/77NMndpJ5Wddjs5LL6HPSo6+LlXlN8ybszw5JxbTJvt1z/wA/Ev8A32aPt1z/AM/Ev/fZqGjmj2k+7ETfbrr/AJ+Jf++zVHXlvtW0W/sYNUutPnubeSFLuCQ+ZCzKVDr7qTkfSrGew60hYeuKqNSpFqSbDU8S0Pxl4w+KVjBHZ6pcaTrGj6Jd22oxx3TxQ/2yXa22sVJyqNBOy5zxLG2MgVy3xI8Vyw/CPxUdL1Xxd4e8T+GtVsbS7hm8R3czRNcT2o4lEpEkbwyZXJyu48Ka97XwToca60E0y3T+2pPN1Dau03L7Am5sd9qgZ9s9arL8N/DS+HrrQ/7Gt20u7mW5uIZMt58qsrCR2JLOwMaHcST8i+gr2I49Rasmkmn/AJ379R3PN/Hmp618P9ek0DT/ABDq32XxVpaadpbXWpz3E9perchJZI3kZmLmG78wc5Asz2HEvwt8UeKPHkw0+68Tahay+HdGOialdWkqu0+qicxzTHeGXcotVdcp0um+lepa1oukapd6RcanBBLcWN159g8xwY5yjpleeW2O4+hNMXwfo8UOsRxWKW41iUzXzQM0bTuUVSxZSDnaoGQe1R9fvBJr3u/9eX4iucN+yv4u1vxP8BfC2pavrF7qmpTC5Et3dTs8sm25lUFifQAD8K9Z+33X/PzL/wB9muU8A+E/Dng/QI7Twrbw22kSMZI1tpmliyTyUJYgDOenet5ruGO4S3aaNZ3VnSIsN7KMZIHcDIz9RXn16spVJSjezdwLn265/wCfiX/vs0fbrn/n4l/77NQ0Vz+0n3Am+3XP/PxL/wB9mj7dc/8APxL/AN/DUNFP2s+7A9z+FMjzeEYmd2dvMfljk9a7LPtXyvZ/Fj4o+HVlsPDfw5/trSYZD5V8zt+9zgkjBGOcj8Ktf8L3+N//AEST/wAef/Gv0vA42EcPCMk727M6U9D6bkPymvm39jb5bj4nqeCPEMmfblqqt8d/jdtP/FpB/wB9v/jTP2Ibi5vl+I1xe2/2S8l1nzJoB/yykIcsv4EkfhVvERrYmny30vurdA6nY/Fq6267bvLDq9nqUriK2tdD1SL7RqKRsXXEBRiMZyXAUqDy4FeteFrVNP8ADmmW0Vi2mxxW0aLZO4doAFAEZYEgkdM57VyEvgfwto/ii5lOt3Wna3rMjSmP+1Ck0/JO1ATuKLk4UcL0AFd1pixLp9usFw11EI1CTNJ5hcY4Yt/FnrnvXo0abjOUn1GeH/tRf67w5/u3H8468Mr3T9qD/j48N/7tx/OOvC67APpn9nBQPAtwfW8f/wBBWvVm6V5b+zn/AMk/c463kn8lr1OgCnetIlrM0Cq8wQlFY4BbHANcbpOlzrrkCzq9xCymVlazjSNOMjDBc5B425z+XPReI7hrezURIJbiSQRxq0hjXce5I5xjNZWixzafqkEN9skkmVvJlhmkK5AyVKsx5xkg+x6V8tj+Spi6UHfRq+um+zOuleMG11Mf42fL4btcf8/K/wDoL13GjZ/su05/5ZL/ACFcR8bP+Rbtf+vpf/QXqnY+PPEcNpDHH4bkdFVVU7m5GOvSvmJ5ph8rz/EOvzaxjayb/JM9SOGqYjBw5LaN7tLt3PUa5T4mSPD4Lv3R2RgY8Mpwf9YtYX/CwvEv/QsSf99N/hWN4s8X63q3h+5trzQZLO3YpunLHC4cEdvUAfjXp4jijA1qMoQU7tWXuyW/nY4ZZfWjFydtPNf5nCf2hdf8/Ev/AH8NH9oXX/PxL/38NQUV8h7Sp3Z4hY/tC6/5+Zv+/ho/tC6/5+Zv+/hqvSbqftandgWP7Quv+fmb/v4a4/4k+JNV8PWuiavBqF1HaWuqQJexrLhZIZSYTuyeitKj+23NdRu6VU1nR7PxBpN5pmo20d5YXkTQTwSjKyIwIKn6jNb0qs4zTlewHi2sa74o13SD41TUNZvfB73N9dyWOm6zLZT/AGRFRLa4gdSu9CsMsnl7lDC5VuSoqx53/CVfGbw+tl4l8THw/q/huXWVgh169hR382ERuFEo2jbIflGBz0r0m/8Ahz4a1TS9N0240iB7HTYBaWsC7kWOEKF8rCkZQhFBQ5U7RxxWmPD+nf2tBqgs4RqFvbtaRXCr8yRMysyD2JVT+FehLHO3u3W6+T2Hc8Kl+LPiDTbzw5aS+IpmbwtqssHiUfbG3NC9ytpbNPuPAdZhcDceViYg8Vf8a+LPFU3wy0DxVZ+LtXsUvfEdrLFDayqsdzZ3GoRJErMQX2+TyArKD5p3AjAr1CXwN4XvtQ8Uxvp9nLeeILaKLWUzl7mERvFH5gznG3zFB46H0qDxN8O/CWtaPpen6xp8C6Xp/lxWcHnvBFHgoI1AVgCQUTbnoQMVf16PNHRrv+Yrna/2hdf8/M3/AH2aX+0Lr/n5m/7+GqdvClrBHBENqRqEVSxJAHAGTyePWm215BeCQ288U4jkaJ/LcNtcHBU46EeleNzz6NgXv7Quv+fmb/v4aP7Quv8An5m/7+Gq9FT7Sp3YFj+0Lr/n5m/7+Gj+0Lr/AJ+Zv+/hqvUGoXEtrY3M8EDXU0cbOkCkAyMBkKCemTxVwqz51qwPqmP/AFY+lPwK+YP+GkPiuvH/AApu8GOP9dIf12Uf8NJ/Ff8A6I3ef9/pP/iK/U4Y6kopa/czque0/G3/AJI347/7AV9/6TvXn/7Ic0tv+zdoMkEP2iZWuysW8JuP2mTjJ4FebfET4/8AxL1rwD4k0+/+FF1ptjd6bcwT3jSuRBG0TK0h+T+EEn8K9D/ZN0yLWf2Z9EsZnmjhuPtkbSW8rRSKDcScq6kFT7g5rCFaNfFXh/K99Oouo3R7G0k+LTeRp2tXMzzI99Z2mpRzWFg6yPKrSkKCG8yaR/K3nJkzswAR76tee+E/C/hbw3MNN0fXZI102REk0+PUgVidydqugPBY568sa9DX7or0qEHBO/UZ8ZfEb/kfvEX/AF/z/wDoZrnevFdF8Rv+R+8Q/wDX/N/6Ga52usD7Y8Irt8KaMvpZQj/yGtardKz/AA6u3w7pYxjFrEMf8AFXZmCxsW6BSTUSdk2Bw3iaz1CW6uLiIMQH8uKKK1jkL4UEEswJGSSM9Bjp69BrlvHa+FdQjiQRoLWTCqMAfKa5+Y3f2c6rOkP2AIJGhjuJRIsQH3s5wSBzjH410/iAA+HdQ/69pP8A0E18dR5Z08TUXWPXs09fQ7m3eEezOV+DH/IrSf8AXw38hXoG3868Q8CeKdY0XRmhsdGe/hMhbzQT1IGRwK6X/hYXiX/oWZP++2/wr57IOJcFhsto0ZqV4qztFtfekeljMBWniJyVrN91/mejt3+lfNNzf3X2mX/SZvvn/lofWvT/APhYHiUgj/hGJMf7zf4V5PIxeaRmXaxYkr6c1pmWd4fMeWOH5k1vdNfmjxsVhalCKcrfJp/kTf2hdf8APzN/38NH9oXX/PzN/wB/DVeivF9pPu/vPNJ/7Quv+fib/v4aX+0Lr/n5m/7+Gq9FHtKnRsYmoTXd9p9zbC+uYTNG0YkimZHTIxlWBBB9xzXiFj428ZfEjRYPD+h6/c6V4g07QbkaleSNIuy9LyWkGc88yQXT5wcGNT3GfcOa5/8A4QHw55esoNFsvL1mYXGoDyh/pMgxh29xgEHsRkc5NdtDEypJ82r6fr+AXPMdUmnvPAOrqb7xZoesaLewwzRN4mvJCrSmAnbKs2ZEKOCN33SxwASaueONe1f4dX15pVhrusGPWNF+zaQ13fy3TQ35ukgVt0rM+S99BySRhPRa9EsfA+habpNxptvp0KWlxKJp1Yl2mkBUhndiWYjavJJ4UelO8RaDoGsXmiza1bWc9zZ3gm017rbvjuNrY8vP8W3PA9M9uOr68+ZXu46vf0/ULnm3hHxzqnjRYrbWPEWpaVFoOiONduI737MPtAupIHZnB4A+w3PzgggPkEHBHV/BHUdam8LXl3c6nqV3pV5fy3OjnUp5ZLlbFtvlh3kO85IZ13chXUHpWjffDHwrqGl6/p1xoVpJZa/P9p1SHYVF3IdvzPg8n5R+OT3NaPhfQtK8P6e8WkZ+ySSNIWa5e4+YYU/M7Mf4egOOD71nWxXPCSjdXtoO50H9oXX/AD8zf9/DR/aF1/z8zf8Afw1Sa6hS5jt2ljW4kRpEhLDeyqVDMB1IBZcntuHqKlrzPaVF1YtSx/aF1/z8zf8Afw0f2hdf8/M3/fw1Xoo9rPuw1LH9oXX/AD8zf9/DXsPwdmkm8N3LSSNI32phljn+BK8WqGw+MnjzwVJe6b4f+HNz4j09Zt636SsA7FE3DCqcYPHWvdyfEOnib1G2rPuy4PU+rKRvWvmD/hpL4rf9EbvP+/0n/wARR/w0l8V/+iOXn/f2T/4ivu/7Qpef3M2uO/ZbbHxk+NS9/wC2pT/5MTV1nxiYtqtncSW+sabqhZorJtAv4Rd3yqrgARNG+dokchiBs3kllBNeefsZ6ld618RPinqF9Ztp17dX3nz2bZJgkaWUsn4EkfhXtz/D/wALaT4quLz+17zT9c1yRm51NlmuMDJSME7tqjnYvC+grkw0XVw0bd3+YR2Os8J24tfDunRfYJNL2wJ/oc0gkkhOMlWcE7m9Tk5OeTXjv7Tzf6ToI77Jf5rXt+krD/Z1sLe5a8g8tSlw0nmGRSOG3fxZHevDf2nm/wBO0Mf9MpD+or3IqySGeH19Kfsz/wDIk6h/2EX/APRUVfNdfSn7M/8AyI9//wBhF/8A0VFVAeuUUUUAFFFFACN0pkv+rb6f0p7dKbJ/q2+lMT2Pm+8/4+p/99v51FUt5/x9z/77fzqKvoYvRHyr3Cj0ooqrknz54k8I6/N4+8TapLFc3HhmPxVpd3JpcNgxmuwlpaIJ45QSSkcgDMqr/wAsnBbGRU1m/iS68cadFaDxHFrieINQOrS363Sab/ZQW5WDyycW7HmzKhMuG3E/x177RXPy6m/tXa1j5nkPiXx58ONS0K9tfEzXUXgQW96s1vdWrTaoo+ZVchfNYsMEqSHBxlgSK0/GUPiS58SW1rot5rmnaZNpWnnw/fSw6lMYrkTSmX7UixsSSPs4cXO0FCRkHeR9C0m0dafL5jVS2ljh/hjpN5CNc1PU5tUe+utRuIwl/PKUSBJnEIjjJ2qu0jBVRuGCSa5X4b6laeMvilqPiJ9I1bRpbWwfStNs77RbyzC2wmDSSs8kaxkyOEKoCSFXPUsB7FxRtFXyonm3v1Foooq7oxCtDw7/AMjBpn/XzH/6EKz60PDn/Iwab/18x/8AoQpSfus0p/Ej6HpaSlr50+pCiiigAooooARulY2st+9jHsTWz/FWHrDf6So9BW1H4zzMxdqDKNFFFekfGhRRRQAUUUUAFFFFABRRRQAUUUUAFFFFABRRRQAUUUUAFFFFABRRRQAUUUUAFFFFABRRRQBuaX/x5p9SP1q6O1UdFbda/wDAjV7tXkz+Jn3mGd6MPQdRRRUnSVbyN5rd0jcIzDAYruA/CuMXQbXS5M3Oiw3MCEZnsxnZju0ZOeP9ncfau5b7orhBpM0moXkMbXt1B548wtdhAflU4xjJGPp6V85mkYxdOfLdt2/pWOqj1V7HW3Uq3GkSyJnY0RI3KQenoelcX8Fv+RYn/wCvpv5LXcaiNumT/wDXNv5VxPwV/wCRXm/6+W/9BWvJxKvnuFv/ACS/Q6qf+6VPVfqehYHPFNkA2njtTxSMu5SDX2soKUbWPLPmG+5vrj/ro386g/Cve5Phj4cmkZ2sGLMck+fJ/wDFU3/hVvhr/nwb/v8Ayf8AxVfAz4fxEpN8yMPZs8G/CuA+L11ceGbXQ/F0NxLDa6Ffo+pxq7CNrCXEVw7qOCIgyz5I4EB9a+uP+FW+Gv8AoHn/AL/yf/FVHN8KfDFxC8Uum+ZG42sjTSEMD1BG7kVdPIcRTmpNpofIz8//ABRaXdz4Rs/F2pX1tqEdzNfaxL4e1LV3sBPCyqLc28oI2SwxRxhTwu52bKk7hsx+HdJ8SfGrwlfwya7BZat4du9cNnNq15EPOWex8ovCJdqlVmcFMbfmOQa+3rn4LeC75YRcaFDOIf8AViVnbZ9MnjpVj/hU/hfzllOmfvVUqH86TIBxkA7unA/IV3LK8RFaNX1/Hb7h8jPzp/tnW9FvLOS51XUIofhbdtHqPmSb1vLKa48tZJ8H5zFp7LNk/NvOcZFaXjCztbr4V6NFf3V1D498QPc3mlM+rTWa6dNcS+Y1ySJAAlssigEgsQojX/WEH9AW+EPhSRZVbSVYTcSBpXO/jHzfNzxxSXHwc8IXmwT6LFOEGE8x3baPQZbir/syveLSSt/X53DkZ8deLPEk0/iyW4tLGbX4PCGknUjHap5j3l9OrJBEgVSQwjWVmwOBcRNjFcj4N8YahZ6L8RVi1DVbvXpLy1jiudQ066tVW6uYIkXyo50G1VkORGOwUnO7cfufR/gb4N0GTUZLPSmjk1C5N3cu11MxeQqqDq/ACoigDgBQBSan8CvBesXWm3F1pHmS2N2L2HFxKB5wjeMMw3fNgSMRnoQp6gVEcpqRTi0mtPw17dw5GfD/AIu0Ow+G/iLw3ewzrqdhp39k6Nb6HDrN1b3MH78RLKkKSbJ8eZGzJInzKjZbAwe98L3/APbvjrxL4huplh0vTpF8P6aXbajMrK1zICTglp2WHHrbcfeNfVsnwW8GTXq3j6HC92vC3DO5kH0bdmquifArwV4f0WDS7PR9tlCdyxtcSMS27fuJLctu+bJ5zz1qKmUV6kdWuba/kLkZ4ouo2kkixLcwtIztEqCQZLqMsoHqAMkdqsfhXua/CXwsjKRpagqxdSJZOGIwSPm6kZqb/hVvhr/oHn/v/J/8VXnvh2v0kifZs8G20fhXvX/CrPDf/QPP/f8Ak/8AiqP+FW+G/wDoHt/3/k/+Kpf6vYj+ZD9m+5X+Ev8AyJ8PH/LWT/0Ku0rO0fRrTQrMWllD5UCkkLuLcnrySTWjX3OFpOjRjTlukbiN90181/sfHbrvxZj/ALviGTn/AIFJ/hX0q33TXzT+yF/yM3xc/wCxhf8A9Dlrnr/7xS+YHf8AxMMtj4lhvYr7+xkaGFpdQu9Ie6tl8uR2UGVGHlEbjnzCF+YY5zXd+C7Kz0vwlo1np1z9tsILOGKC5DBhLGEAVgRwcgA8etcZ4t0iDxN4pNtcjTL64sYFmax1C6uPs6o7yLG5hH7pmwh5IJBHYYrt/C+oQat4d0u9tjEbe4to5YzbqyxlWUEbQwBAweMgGt6f8STA8b/ai/4+vDn+5cfzjrwyvdP2oP8Aj48OdvluP5x15zrGrXun+E7fSprma5lu1ink81yywRAZjjXPQkYY+20eue0D3L9nX/knn/b5L/Ja9O/iry/9nNs/D1/+v2X+S16i3SgDF8Qaa2p2gj/cMqtuKXCblOOnQjFY+k2dlpOoRGbRxaXOSsVxCDLGc+jAZXg/xAfU1u+ILcXWkXUbPLEpjbLQ/exg9PX6Vh+HNPn+1Ws80dw0apmNprsSBcrjO0DGce5xk18xi4qONhaOrtrv17HXB/u3d/IyPjZz4dtP+vlf/QXrudFA/sm04/5Yr/IVw/xt/wCRdtP+vlf/AEF67jRf+QTaf9cl/kK83BK/EGKv/LA6qv8AuVP1f6F5VHpXJfFQf8UTqHHeP/0YtdaOKo6vpNtrljJaXieZbyY3IGK5wQRyD6gV9biqPtaMqcd2jyj5o/Cj8K94/wCFWeG/+fFv+/8AJ/8AFUv/AAq3w5/z4t/3/k/+Kr4b/V/E90YezZ4N+FeNfELxDeeFfFmtaFa3cy3vi6C2TSFaR2KXBdbe4aMchRFEY5mC44Vmx1Nfbv8Awqvw5/z4t/3/AJP/AIqoZPhL4WmmilfTFeaLPlu0jlkz1wc8ZrajkeIpSu7NDUGfCun6Xb6F8VLjStSvx4mg8QNPZ29/a6tKl9pkawkm0kjRxiJRGdsikMrscjc280rPw3H4P+H3ibxTpt3rT3ui6xczOJtWuboGztrsl4wk0rKf3KOOgJ9ea+8Y/gv4Phu2uo9GijuXG1pldg5Gc8nOTzU//CpfC/lyJ/Zv7t871818NnrkZrs/svE6bdL69g5Gfn1D4w1C68Sa5YNf3Bi8dXynQ13MwEUF39luTCwP3fs6RXOBwRKxBIzXRi8ttB/aG03yZoxbalBe27Na6xLeySyqqSn7TC52wRx7ZVTbuClsDYG2n7e/4U/4UX7ORpMY+zjEPzv+7GMYXnjjjjtVG9+A3gm8t7+E6MIGvoXgmuLWaSGYq4IJEisGB56g5B5q3ldaT2SVrb/10DlZ8TSX0p8Pzanc2+qxR+NL+W9v7zStPubmWKxjjWOCEG3jZ4y0UcY3DoXlZSCcg8E+JL7xX4N+GGn2gnvZbPw5B4h1JrlJFkklSBY7aNtwDEyzGSQN/F9lbqGzX3RZ/CHwrp1nBZ22meTbQIsUUazyYVQMAD5vQVQ034F+C9I1TUL620kxXN95Qmf7RJ92NNsaAbuFAzhRxlmPUml/ZdbltZXT01+XbsHKz4T+D/xFGl6LBfaikGpapf8AhUeIL3Ure9kmfzFCZiuAThGZnO1VVQgVkVQE59f8CWMXg3wXY2upXcKX3ky6jfySuEzNI7TXEpyeF8yRz6DOOgr6H1T9nzwHqthLaTaCiW81xDcyrBK8fmvHIsi79rfMNyDIPBGQeCa1ZvhH4Uud3naWsm9DG2+RzlT1U5PQ+lY1snrVLqNld66/cHIzwmC6gumlWGWOUxNskCOG2NtDYPocMp+hFTfhXukfwo8MRM5TTdhc7mKzOMnAGT83oAPwqT/hVnhv/nxb/v8Ayf8AxVcD4fxPRoXs2eD/AIUDjtXvH/Cq/Dn/AD4t/wB/5P8A4qj/AIVZ4b72Lf8Af+T/AOKqoZBiYyTug5Hc6uP/AFY+lPpFXaoFOr9AhG0Ujc4j43f8kb8d/wDYBvv/AEneuG/Y1/5N48N/9dLr/wBKZK7j43c/Bvx2P+oFff8ApO9cB+yObmH9m3w8bbyROHuSv2gkJj7TJnJHtmvOl/vi/wAL/MRJpOjw2PxDuUvNY/s2G6vEWOwv9NaGWdo7medBFOWMcgZ5yfl+YKFzg5r3Fa8o0mw0+18QDxAU0m8E2oyQR391PcXF2jGZovLj8wHywGJXauEHbjmvWFrpw+iYz4x+I3Hj7xFz/wAv83/oZrns7efSuy8TW99efFjV4dLd4r59SmWOSNipXLHJJHQAZJPYZrK8Y6wdY1ONRNJPBbRC3jnmzvmAJJc555JJ9gQO1dgH2Loq7dHsFPUW8Y/8dFS3SPJbyIjbGZSAxGccenemaau3T7QDtEo/QVYZcqRnFRKPMmmGxwknh+003d9r0e3u7dfvTWvJUdy0ZOfyJ+ldFq1wtz4ZvZY92xraQjcpU/dPUHkVzMmjyzahqkEZvLqBpsTBrsRgkxplcAEkYxzx6e9dbr42+Hr/AP695P8A0E18fQ/g4i0bJRa/PrZaHdP4oNu5yXwY/wCRWf8A6+H/AJCvQMDb0rgPgz/yK7/9d2/kK9AHSujhiK/sfD6dB4//AHqp6jZANp4r5guv+PqXj+M/zr6hbmuTb4X+HWYs1kxJOT++f/Gt82y+pjVFUraHnSTkrI8G/Cj8K94/4VZ4b/58W/7/AMn/AMVSf8Kt8Of8+Lf9/wCT/wCKr5z/AFexPdGPs2fKfxTvJtD0/SNfjmkhi0nUoZrpVcKj277oZN+eNqiXfz02A9q8n8RM/iLwvB46vNRgn026mvdUj8P6hqU1kt5ZExrayxFXGJVhhEqBlID3DfcbDL+gM3wp8MTxvHJp3mRuCrI0zkEHsQWqtefBXwbqCxLdaJDcrF9xZmZgn0BPHSu+jk9emkml/wADsVyM+IF8H6Lr3xg0G4jk1yKy1LQ5dXe1bWb6NTMJYdhaPzsDAYgrjHJyK5yTxlqmnalpenjU5418A6hJJrq75E3W8115FoZSTyptnmnOcj90pr9Cl+E3hgOsn9m/Oq7Q3nPkD0zu6Uw/CDwozXBOkoWuAFmJkf8AeDGMNzyMcc1tDK8Qrc6T07/10Hys+APHF5JrHwfj8QvcQtd30d3rdvLd65LZ3FnbSN5kEtvAg2yTLCE2gldrEgNh2r0LV1PjLxZZobs2thoWktfCaUGMx3dxFJFHKxyMFIfO46fvieqivre6+Cfgu+8oXOhQXAhx5fmMzbMdMZPFRWPwO8HafeatcxaUxl1OVZrkvcSMHIjSMDBbgbUHHTJJ6k1P9k4hx0snr+IuRnwv4X8St8N9G8XaVYeTrOuQWtiLDUIdXur+C+u7l5ILeNxPI/ksJVy4VyNjBuMYGZJnwh42udOvHi1S18MyaNZWFlealNHcTLLs33cUK4VpTLJIWkO4uEdPlG4t95zfs++BpJtPZdESAWNz9rhjhkeNPN2MgYgHnCuw59fpWhP8GvB95cR3E+ixTTx/clkZmZfoScitf7Kq3bstd9Q5GfKuitb6h8QPEviO8nSO305Y9DtXlcBE5EkxBJ4LSPGp9fJUdq7Bda06S6W2W+tmuWlaEQiZd5kVQzJjPUKQSOwNe4aP8C/B2h6a1hb6WzwPPNcv51xJIXlllaWRyS3JLux9u3Srq/B/wmsglGkoJgxYP5j5DEYJznrjjNcFTIq85XurdBcjPD/wo/CveP8AhVvhz/nxb/v/ACf/ABVH/CrPDf8Az4t/3/k/+Krn/wBX8T3QezZ4OB7V7P8ABn/kWLn/AK+2/wDQErR/4VZ4c/58G/7/AMn/AMVW1onh+y8OWr21jF5UTP5hUsW+bAGeT7CvWyvKa2Dr+1qNWs0VGPK7mpSH+lOpv+FfXNaGp8xfst/8lq+NP/YZl/8ASiavQ/iVayWPjOx1eC6fSZkhTdqF3pr3dn8nnBVLxsDCR5zEl8KwKckqQPO/2Wv+S1fGr/sMS/8ApRNXp3irQ4/FPipre8/szUbiztY5JNOv7q4+zIryTCOTyR+7ZiFIJIJG3sMZ8XD/AO7Jeb/MS2O28HQ2sPhrTxY3i6jatEHju4yCswb5t4xxgkk8V4v+02x/tbRF7eS/8xXtvhe8i1DQrOeFrcxPGNptQRFxx8mQDivEP2nD/wATvRhn/l3b/wBCr2YfChnitfSn7NH/ACI+of8AYRf/ANFRV4xq2oahpXhO3027uZp5r1I5mikfetvCOY17hWbhsddu31r2f9mf/kR9Q/7CL/8AoqKrA9cooooAKKKKACk9qWigDJbwvo7MSdLsiTySbdP8KP8AhFdG/wCgVY/+Ayf4VrUU+Z9yOSPYyf8AhFdG/wCgVY/+Ayf4Uf8ACK6N/wBAqx/8Bk/wrWoo5n3Dkj2Mj/hFtHHTSbEj/r2T/CuL+JVrbaDZWElhp9lA8l0kbt9ljOVIbI5X2Fek9fpXnfxj/wCQbpY/6fU/9BavluJsRVw+WVJ0pOLVtV6o7sFSpzxEIyimjrIfDOjyRKTpNjkjP/Hsn+FSf8Iro3/QKsf/AAGT/Cr1r/qY/oP5VPX0OHnKVKLb6I45QjfYyv8AhFdG/wCgTY/+Ayf4Uf8ACK6N/wBAmx/8Bk/wrWoro5n3Fyx7GP8A8Ito3P8AxKbH/wAB0/wrhtftray8faNp0NjZJZ3CEyRfZY/m+93257V6cR15rzbxR/yVLw9/1zP/ALNXyXEmIrUMLTlSm4vnitH0bVzvwVKEqklKKej6eR23/CLaN/0CbH/wGT/Clj8N6THIskel2aOp3KywICCOhBxWoOgpa+sUnbc4OWPYKKKKCgooooAKKKKAEauf1Rs3hHoAK6DvXO6h/wAfsv1/oK6KPxHj5o/3KXmV6KKK9A+SCiiigAooooAKKKKACiiigAooooAKKKKACiiigAooooAKKKKACiiigAooooAKKKKACiiigDX0TP2d/Xd/QVpDrWdov+ok/wB/+grRHWvKqfGz7rB/wIeg6iiioOsrXHmtA4hKiUqdhYEjPbIHauH1KaODXG864sxPlTJixmZuAuTuD47j6ZGa7uVykZIG7Azgd64T7UmqXwV9PktLmR8sjXAjkOQu4YI5GFGcelfM5xLSnFOzb6rT/hzroLd9DstS/wCQbPj/AJ5N/KuJ+Cv/ACLM3/Xy3/oK12+o4/s6fHH7tv5VwvwbuI4fDMwd1Qm4Y4YgdlrysZOFPPcK5u3uS/Q6aScsJUt3X6no1IzEA1D9ut/+e8f/AH0Ka19bbSPPj/76FfXyxVFK/tF96PO5JdjhZvjJp8MzxmwuiVYqSCvY/Wm/8Lq07/oH3X5r/jXk99ze3HP/AC0Y/qagr8/lnmLUmlL8EcvPI9e/4XTp3/QPuvzX/Gj/AIXTp3/QPuvzX/GvIaKn+3MZ/N+CF7SR6/8A8Lq0/wD58Lr81/xqjrHx80jQ9HvtSuNOv3t7OCS4kWFVdyqKWIVQeTgHA715dSMoYYPIPrTWeYu6vL8EPnZ2msftZ+E9Ht9One2vrqC/sZ9ShltUWRTbRIjtKSD90+ZGB6mRRWX4o/bK0Lwf4bbXNX8JeJ7OwSZIJC1tEWjZ3REJAl6M0iqCM85zjFfPPg34Xal4esfE1jq2kw63p1navo2h2clwrfatMLPKImLfcIV0g+b73kKScc1ieIPhn4z8QfCHxdoqQ3CR3uq2FxomianepPc2NrDPbPKkk+9lJLRyuq722gqN3OB60c2qXtzrdX9H29A5mfVUn7YHhezt9ebUdH1rS5dF05NVura6ijEvkO0yoUCudzE28gwDnOPWprX9rzwbfRaTJbW+oXC6no5123WGDzHNpmIBii5bLecmFxk4b+6a8C+KHw/1HxJ4y8IalpcEbwCb7HrLMVVvsYkjuUbJI3ETW0a45+WaTjmqvw08E6z8O5vFt1c6c1/FA/2PQ7Szmj3yaejyzQxDzHCoVa4kjG5gNsa9Bip/teo4c6nr209Pz/AfMz6W+H/7Ufhr4meEdP8AEmi2WoPpd8HMLTosb/K7IcqTxyprof8AhdWn/wDPhdfmv+NfJf7MXhjXvA/wd0fw54j0ebR9S0150ZZJ4ZVkDzPIGUxO3GHA5wcg8d69WrhrZ1iqdSUYSTSemwudnr3/AAurT/8AoH3X5r/jR/wurT/+gfdfmv8AjXkNFc/9uYz+b8ELnkevf8Lo0/8A6B91/wCO/wCNH/C6tP8A+fC6/Nf8a8hoo/tzGfzfgg55H0b4Z8QReJtLW+hjeJGYrtkxnj6Vse9cH8K9QtbfwnEklzDG3myZV3APX612H9rWP/P5b/8Af1f8a/QMJW9rQhOb1aN1sXG+6a+ZP2PmLeLPi8pPA15j/wCRJv8ACvo46xY4P+mW/wD39X/Gvm/9jtlk8XfF8qQwOukgg548yesa0k8RSs+/5DO8+JWg3K+IL3UdP0XQ9iwWv2m6vfDkmpTTb5XQkbJEJ8tcMVAZsHsMV6J4MuLy78J6PPqNutpfy2kTz28cRiWOQoCyhCTtAORjJx61yHi6JrXx9DcWF/rFld3VtDaXEljBbPAi73MRkMwzkkuBszjPIA5rtPCupR614a0u+huZLyK6to5luJkCPIGUEMVUAAnrgDFdFKP7yQHjX7UEmbvw8vok5/VP8K8Xl1a9uLYW8t7cSW4AHlNKxTA6DGcV7F+08x/tTQV7eTKfzZa4fXdHtLXS71ltIorSOCF7K+VzvnclN4xn5shnJ4+XaK7QPa/2c/8Aknrf9fkv8lr1DmvL/wBnP/knrf8AX5J/Ja9RoAz9U3/ZXKvHGgB8xpQSu3Bz3Fcn4XMUWqQIj2p+Vtqw2M0RwB2ZnIA5HbvXSeILprfTZdto96r/ACPFH12ngn6ViaC63+pxTeSwWEc5uA2xtu3JXGckcfjXy2OfNjqSi9VbdPv0Oun/AA5N7GV8bv8AkXbT/r6X/wBBeu40X/kE2n/XJf5CuH+N3/Iu2v8A18r/AOgvXZaPdRLpdoDKg/dL/EPQV5mEqQp8QYrndvdgdVSLeDp27v8AQ1P5Vl+Itci8O6TNfzRvJHEVBWPG7lgvf61e+2Qj/lsv/fQrlfidcRy+CtQ2urHMfQ/9NFr6jFYynToynCaukeY4ytsZf/C6NM/58rr/AMc/xo/4XRpn/Pldf+Of414/RXwn9u4z+Zfcc3Oz2D/hdOm/8+V3/wCO/wCNH/C6dN/58rz8k/xrx+il/bmM/mX3Bzs9g/4XVpv/AD5XX/jv+NZuqftDaBo13pdvdWt4kmpXP2W3IVSDJ5byYJ3cZCNj3wO9eY1ynxO0PUNc8JTHR0EutWMsV/YxGTyxLNE4cRljwocApk8DfmtqWd4qU1GUlZ+Qc7PWdQ/a48MWetS6TBo2u6lqUckifZbK2RmKxpE0jglwNq/aIQec5cAA81Xv/wBsHQbDxevhv/hFfE8+pvA11GkNtCVkhVlVnBMo4BZRzg89K+adW+HmsnwDoaTeGpNQ8ayLdX76tp1/Hby6VqVyN0hWRnUtAGcoQpfKRINj9uo0/wAG6/F8VPDeuahJHfR2fhqXTr2/TanmXTSwtkR5yA2xjxwOlejLOKsVfmT3+9foPmZ7zH+114NkXwuwg1AHxJM8FgvlLkuiO7B/m+XARvx4qDWv2yPBGhW9vPc22rPFPqf9krJb2hkQT+asR3MDtVd7qMsRnnGcGvlDUvhL4sbVvFr2tlbi20Ocan4PZZVRrqaW4S8uYXw/yDfF5AJ2jZK2citLx14P8Vf8Kj8LaFZ+HZ9b1xr6y1TVGs7m3jjinjuo7m4GZZEzuYyBNoPQZxwav+1KrcbTWvp6/kLnZ9p/8Lq0z/nxu/8Axz/4qj/hdGmf8+V1/wCOf4141azPcW8cskD20jqGaGQqWQkdCVJGR7Ej0JqWvH/tzGfzL7kHOz2D/hdWm/8APjd/+O/40f8AC6NM/wCfK6/8c/xrx+il/buM/mX3C55HsH/C6NM/58rr/wAc/wAaP+F1aZ/z5Xn5L/8AFV4/RkL1qoZ5jHJLmX3D52fUituUGnVTj1C12j/SIhx/fFO/tK1/5+If+/gr9GhUi4ptm5yfxs/5I746/wCwHff+k71wn7IttFefs6+HoJ41mhk+1I8cihlZTPICCD1Brs/jVqFs3we8cATxEnQ70ABxk/uHrkv2P4zH+z54ZDDvcH/yPJXC5KWMVv5f1EUNJs9a0Pxpa7PDeg2WnSX5FsLXw3L5+w3MyOTcLKVjIjEcu9lCt5mAOK95X7vFeP8AhbXorXxJqtpa6zrcdhbagJPs9xa2vkSm4upoyI2A8zaJo5Qd2DxkZBr2BeldOHSV7DPjbx9cS2fxE8QTQSvDKt/OVkjYqw+cjgiufvb661BhJc3E11Io2q0zlyB1wM12muWdvqHxa12G5QSr9qu3SFmKiWRVdkQnI+8wUfj71heKrOO0bTCLZbG8mty1zbLn5H8xgpwScEqFOPx712AfZtuu23iHTCAfpT5M7Tt644oT/Vr9BSSMVjYgZIGcetTIDgNbkih1K4aW4sxIu0TMbCZyCFBOWVwOhz7Zrrdf/wCRfv8A/r3k/wDQTXJ3Fx/a0kttJp8kEkzl2he5EbNldpUAjoQO31711mvjb4f1D/r3k/8AQTXxuHfNSxLTvFp9LPZ7ndLRwT3OU+DH/Irv/wBd2/kK7+vPPg3cRx+GHDuqt57cE47Cu9+2Q9fNTP8AvCr4Zr0o5Rh05rbuXjoy+sz06kzfdzXnsnxm02ORkNldEqSOi/413bXUOD+9T/voV8zXX/HxN/vn+da5tmUsMofV5LW/mebO8Vc9c/4XRpv/AD5Xn/jn+NH/AAujTP8Anyuv/HP8a8for5v+3MZ/MvuMednsH/C6NM/58rr/AMc/xo/4XRpn/Pldf+Of414/RR/bmM/mX3Bzs9Zvvjlpen2Nxctp19KsMbSGOJULtgZwBu5NcxrX7XXgrQNCstYvFvVsbyzkv4WRFZjCkXms20Nn7pA+rKO9cYy7lIIyDxivFPDHw31/Sf8AhIU1bR7PW9M0+0m0fQ9MluEVbmymmaWYsdmFLR/Z4grDrbnJVX3V20M4xEk3Ult6ahzs+l9W/a30fQ9IGpXfhDxTHCJDHIn2WHfGcqFLDzejFwBgnoc4xVgftZeGYbbVJL7Sta0t9M0/+07qG8gQOkGZBu+VyCf3TcA+nrXzjpfhHxDceAfEGnPZXlnFcX0Mml6ZqmoLdXFvArQlleXew+8sjAb3wCBnsLXxY8D694i8QaDPokUT2d5jS9cEk/lkWRnilZgMfP8AJHPFgc/6TnoDXV/bFS/I5Ld6+Wj/AOAPmZ9DH9q7wrLbaZNa2Oq6j/aVk2oWsdnbiRpIgUH97AJMijnHfOACaueEf2mvDnjS3vpLKw1K3msLprK7tbuNElglUK21gGI5VlIIJBDCvlDw74V8ceBdP8W39lo8Os6jpsDaZ4WsHv1CTWxuJZVdmO0IAksEZVjk/ZODhga7f4Q6Vd6T4ZlTUtIvtM1Wa5e4vZtQNsZbydwC8+IJZFCk/KFJyAgHQAnKtm1eEG4ST27fkLnZ9L/8Lo0z/nyu/wAk/wAaP+F0aZ/z5XX/AI5/jXj9Fed/bmM/mX3Bzs9g/wCF0aZ/z5XX/jn+NH/C6dN/58bz8l/xrx+il/bmM/mX3BzyPYP+F0ab/wA+V3+Sf411PhXxRB4s0+S7t4pIUSUxFZMZyAD2PvXztXsPweuoLfw3crJLHGftbHDMB/Ale1lWaV8VX9nWatZlRk29T0Wm/wCFV/7Stf8An4h/7+Cg6lbdftEP/fwV9jzxtuanzT+y3/yWn41/9hiX/wBKJq7z4k6PPD4lkvNP8P6KkJhhe71K78PyanLNukdSFSN0OY/kJ6lhLkcRnPn/AOyvOsnxs+NIQh0OrSMGU5BzcTV6v4sxH8SbBbLVdVsdRvLRLWb7DBbyQImZniaUygnJKzBduehyO9ePh7PDL1f5iWx13gm4vLrwnpMl9bR2t09shkihgaBEOOixsSyD0U8gdcHivFf2mm/4qHSB/wBOrH/x817j4Zvf7Q0OzuPNlnZ1+aSZFWQsDghgvygggjjjjivCv2mj/wAVRpI7fYyf/H2r2o/Chnk82sX89t9nkvrmS3xjymmYpgdsZx2r6K/Zp/5Ee/8A+wi//oqKvIte0HTrHSb8pbJHbQwwNYagJNzXbkrvz2PBc4GNu0A969d/Zq/5Ee9/7CEn/ouKrA9booooAKKKKACiiigAooooAKKKKAG9q86+Mv8AyDNL/wCv1P8A0Fq9Frzz4x/8gvS/+v1P/QWr5Div/kUVfl+aPQy//eYep3tr/qI/oKnqC1/1Mf0FT+tfS4f+DD0Rwy+JjT3pP50teA+Lvib4yt/HXiPTdL1HRtP03S5II/M1JWGTJFvABUHJ+Vvyr0KNKVZtJpW7nLWrKja6bv2PfG+teceKv+SpeHv+uZ/9mrzf/hZ/jr/oafCP/kT/AON1RufGniy81KC/m8Q+Dnu4BiOUmXKjn/Y9zXkZzklTMKEKUKkU1JPV9nfsa4bMFRm5OEtU1t3Vj6gH1pea+a/+FoeO/wDoavCX5yf/ABunf8LR8d/9DV4S/OT/AON17ywj/nX3nJ9a/uP7j6R9ab+PFfOH/C0PHn/Q1eEfzk/+N1v/AA5+I3i3UPiJZ6Jrtzpl5Z3Vg97FNpynawDFRyQD1U8YpPCy5XJSTt2YvrSuk4tX7o90opPSlrjO8KKKKAG9q5u7bddSH/aIrpGrmbj/AI+JP94/zrqw+7PCzZ/u4rzGUUUV3Hy4UUUUAFFFFABRRRQAUUUUAFFFFABRRRQAUUUUAFFFFABRRRQAUUUUAFFFFABRRRQAUUUUAa+i/wDHvJ/v/wBBWkO1Z2i/6hz/ALX9BWiO1eVU+Nn3OD/3eHoOoooqDsKd5cC1tZJWYKqjO5s4H19q46Cwv9dkimvDZ30CuGEcF2VjUg5B4TLH6nFdrcM4hfy1Dvj5VJwCfTNcVqF5bNqcdtdW9naX8hGGjvhHMM+mAD+Hevms0hFyg5ttdtbN/dY6aN7O251+pD/iX3Hb9238q8e+H/w/tPFGjyXU880TrK0e2NgBgAe3vXrdxC0OkyI0zTssRBkkxubjqcAD9K4/4Kf8izP/ANfLf+grXzma4HDZjnWFo4qF48knZ97rsejh61Shhajpuzuv1G/8KX03/n9u/wDvof4UjfBjTdpP228/77H+Fei8c0jZ2mvXlwnk6WlD8/8AM5/7RxX87Pl+eEW9xLGvKqxUZ9jTK6u6+HniGS6mddMYqzsQfMT1/wB6of8AhW/iP/oGt/38T/4qvj3ga8Hywpuy8jxpKUm2+pzVYeteLLfQdd0DTbmGY/2zPJawXCAGNZliaUI3OQWWOTHH8OO4z6D/AMK38R/9Axv+/if/ABVcp8TvgT4p8beEZ7Gzs1tNWt5ob7TrqV0ZIruCRZYWYZ5QsgVgOSrMO9aUcFWc0qkHb0J5ZdjgL74xRf2wdL0rQ77V75ru6toI0kihW5Fssf2ho3kZVJV5PLAJGWRuQoLVJffFa+sfiDbeE/8AhCNcmuLmKS5ivI7ixELW8bxJJNzcbgFaaPK7dxzwpwa1Ne/Zn8WXXw707wzF4a0zVZEgkEt1fXXktDcupzPGUBYNuZzuBVunOea2NK/Z78Z2PjLwvrF2X1I6T4euNHubid0E11NJJaP5x+bAz9nckerDrXoxwSSu6be/f5P5j5fI4ux+PGgX0/gODybuGTxc1xHB5qqos5YVw8U+T8r+Z+5AGcvxRrnxkbS/C974ktfDGp6toWnzXwvbu1mtl8qG0leOWUK8ql87HZQoOVU9CQDa1D9kvxmzeNpbER28t/PFe6GGlVhZXCXAvCz5PRrvc5UcEHFaGt/s0+N5PC/hbwxbaXa6h4d06JBf2N1diL7c8YXy1dlBzHuBZlwNxCg5XcrX9QimrQb77+v39A5WXdW8V/Zda8OadaxrcSas0kjbyymO3jj3PJjHZmiXnGDIPpWZ4f8Aito/iLT/ABNqMPmw6ZocjLJeSAGOeNYxIZo9pJKEE4OPmxkZBBNw/AHxj481bxld61p17oa3timgWMlnPD50VuoLzzRM24KZZJCuSvKwRHArHX9mHx34fXVdOWbUPEVj4h1KyikN2tlGLO1hiBlZhDHEvzLD5QABHzR8D5ic45deOsXdW7/MXKRaL8UtWvtT0bSZvCN/JqNxZWl5fyW1zarDp/nFsqwkmWR9m1s+WrdOMk4rqF8TGbxw/h+CMSC2sFvbuXnMXmSFIV99/lznjOPL7ZGWfEL9nnxj4y1KwS20HTbJba9sbpNbFwovYkgnSVkQBf4grx/exiQ59Dd8CfCHxtY2Osa1c6F5Wua7qf2y4huJ0HkwApDFHkE/MtvGpx0LluRuqamBlKHNCm07ba7/ANXDlZqUVrR/D3xo08QfR4Fh81w7Lcgny8HYQP7xOMjOMHqavf8ACuPEf/QNb/v4n/xVeY8DiV9h/cPlZzdFdL/wrfxH/wBAxv8Av4n/AMVR/wAK38R/9Axv+/if/FUvqeJ/59v7hcsuxzWn/smeGPiWk3iC+1XVra7upW8yO3mUICOOAV44FXP+GDvBv/Qc13/v+n/xNe3fDvSbvRvDcdreQmCdXclSQeCeOhrqzX6Lg8DR+rw54621OiysfMp/YO8HD/mO67/3+T/4ms39iHSY/D+ufFPTIXeSGy1OK3RpDlmVGnUE++BX1W33cV8v/sesG8dfGNR1XWlJ/wC/tzVSw9OhiaTgrXv+QWO++LFnaa94oks5TY2D2WnLcyXV5qt1Y+epd9qZgkTcqlGOW3bS/A5Oe/8AAGrWWseD9HnsbeKyha0hIsYmDfZsoCIjjpt6fhXBXWk6144m1XXB4jstLSxvLm0g06fTLeeFFgmdM3DyDzDvC7/kZMKwxnqe98AXVtqvhHSdUt7GDTjqFpDdPDboFUF0VscAZxnFdtH+I5dxnjv7Trf8TzQ19LeQ/wDjw/wrxbJ4GfpXsv7Tjf8AFR6Qv/Tox/8AHzXF6hcabd6HqkASwje2is2tDDGiyMxUCX5hy+cksCTggdK7wPbv2c/+Set/1+S/yWvT2rzH9nX/AJJ6f+vyX+S16d/FQBi+Ir6e0sVFtLbxXEjAK10xVffnHWsvQNGuBqkd/dxRXE+wr9qF0WIBHRUCKuPfrz1Nb+qPOsGIbaO5ycMsj7Rj8jXL6LNa6nqh+xNDbuh3SGxvQ4P1jxtOemcfjXzGKiljYSnd7WWtvXa1zqhf2bSKHxt/5Fu1/wCvpf8A0F6qWPwdsLq1hma9uVMiKxwwxyM+lW/jZ/yLlr/19L/6C9dxooP9k2np5S/yFfMPKcHmWf4hYuHNaMbb/oemsTVw+Dh7OVrt/ocL/wAKT03/AJ/rr8x/hWN4v+GNl4d8P3OoRXc8skRTCyEbTl1HP517Ac1zfxC0+51PwreW1pE007mPai9Th1J/QV62I4XyqlSlOlQ95LTV7/eccswxU4uMpuz9DwCit/8A4QLxB/0Cpv0/xo/4QLxB/wBAqb9P8a+T+p4j+R/ceJZ9jArl7z4g2Gn/APCVC5inhHh6JZ5ywXE0bRbw8fPIyHXnByh7YNej/wDCB+IP+gXN+n+Nec+Ov2dvFvirxhpl/a2y22kzLDFrVvIgMlzHBOtxAqHOOXDI+7IKOw610UMHUlK1SDS9CuVmNoPxYbxTfa5FpHhzUb2HSHktZn823jdrtEDNAI3kUjltodsKSCc7cMaGi/GyTUENxqHg/WtC09b8aY17eS2kka3BmEOwiGZ2++cbtu335GequvgT4x1L4mad4i/sGz0pbOSTzbyymb7RfwmNlSGVcKuAWD8lsFRjqTTr/wDZ58UXnw88U6ALeRLzUrq8vLO6XgQTSStLA55zlH2N/wABru+px2dN6276dw5TI/4W9pH2jxjAsU5uPDM8UFxGdoMzSIjIU56EvtycfMrDtVu28fTHx1F4bvtBvtNNzDNNZ3k0kDx3AhZA52pIzICJFKlgCRnIU8HItf2WfGy65oN7IqiGaaS68QwKM/aJBetfW4hJ7RyySJk4yjdMgVp6t8D/ABsnxAh8ZQ+HILE6fDdNcDTX8y71hDCUihkBCqMEIwyT8ygAgZNU8vje0Yvb8RWK0nxOFu3iq5eyMthpd5HpdksDZm1G7KKWRM4UAPII8k4Vo5SxUKSLK/Ei3vvDPg/V7KAgeJjbNawXGAyRyRGdy2OAUiV2POPl61Pa/s1eKLjwr4bg+2azoGqaeslxLJpi2j+ZczAmVn8+KUE7mfkYPzGsv4f/ALOPjHT/AOy9N12zuryz8OeG4tAs7lhGDNLKifaZVAA+VVigjQkbv9bnOck+oR5ebld0/Pbb8wsa/gnxwPHFodRttOmttGmiSeyvZpYybmJhlX8sMWQMuGAcA7WGQpyos+BfEk3i7w8mrvALeC5nmNoBnMlsJGWGU5/56RhZMdg4HUVwWj/sx/EHwX4bhjs9JhS7tfD8fhuOLTHwLx5JIo2vZgQAvlgM+BuIDSYPTPssfw28U6LpcdjpOhq0NrZmK3SaTYN6qBGpwDhTjkjp6VhWwEoq1OLd/wAAsV6K1rPwL4qaS4+06RsQOPJ8p9xKbFzuzjB3bunYA+wsf8IH4g/6Bc36f4157weIX2H9w+VmDVfUrFNU0+5s5GdI7iJomaJtrgMCCQex5rpv+ED8Qf8AQLm/T/GgeA/EHfS5v0/xqoYOvzL3H9wuVmN/wwb4VbkeI9cUHoN6cfpS/wDDBfhb/oZdc/7+J/hX04n3FzxxTsV+mwwGHcU3H8zo5UfIHxD/AGK/DnhTwD4k1u38QazNNpum3F3HHI6bWaOJnAPHQkc165+yL/yb74X/AN2b/wBHPXW/G3/kjfjv/sBX3/pO9eafALXLjwv+ynpOqW8Uclxb28zr5xPlpmdhvfHOxQdzY52qcVzxo08PivcVvdYdSW1j0fTfGT+I5LfS4Fm1lrJ7Matc+YrLPIiytCZPJyGZ5duwY3swO4kn3iGZLiFJInWSNxuV1OQQehBrySTwvqPhXUbDUtS1mw8SwaheRW09ncaPbw4aV8b4HQBhjOcSGTIU8g8161bwx20KRRIsUSAKqIAAoHAAA6Cu7DprmuM+OPiN/wAj94ixn/kITc/8DNc6WO7cTk9a7nWJLRfit4gkvY4JbdZ79vLujiNmEchQHkfxbcYIOcY5rA8TzW14ulXMKW0c89puuVtUVFEgkdfurwpKhTgAeveu4D7TX7g+lRXUwt7eSQkAKpJJ6VKn3V47VHOz+W5RA7gfKpOAT6VEr8rsNbnCrp+oeIFR7z7FqECkN5EN4Viz2ziPJ+hOPaur15f+JDf8f8u7f+gmuY1K8t21BILi2sre/b7vl3/lS89OQAef1roNUhe38N3kbyyTsLZwZJMbj8p64AFfI0IxhRxCV27O7e+z8jslfmg/M8r8B/Du18V6O13PdTROJWTbERjgD2rpv+FJ6f3v7rP+8P8ACrPwY/5Feb/r5f8AkK75e9fP8P8ADeV4rLKNatRvKSu3d/5no4zH4mGInGM7JM84/wCFK6epyL66/wC+h/hXk0kYikdB0ViB+FfUDfdrwC48CeIGnlYaXMQWJB49frW+YZDhMDyywNKzd72u/wDM8jEYmviIpVJXsc5RW9/wgfiD/oFzfp/jS/8ACB+IP+gXN+n+NeL9TxH8j+486zOJ1zxNb+H77Rre4SQ/2pd/Yo5VHyRyGN3XcewPl7R7sB3rldU+Lsdv4k/sHTdEvNY1Np54Y0hnt4kfyEhaYhpJFBIM6IF6ls52qrMO+8e/CDxP4o8Ny2lnYvb6hFLFdWksh+VZYpFkXdtYHB27TjsxriL79m7xg3wzsPDr6DY63qbJNPd6leyGJo7+ZjJLcw7VJGZXdgAVIAAFejQwV4pzg79v1HylO8+LWo2njiLwwPAWvTXM0bTx3C3NgIngV1RpebkEAFxwRu9quR/GDR2Pg9fLn83xLcy2tuilGMDRq5cykNwAyheM/M6jvXR6f8DfFtv4y0LWrmKS8Njoj6ZM8gAkmkZ4mMnBxzsP51xt1+yr43fWPEl1CsPkLOt54djeLm1me6S8uRKQRlXmjjUFeQgPeto4OE3aUGtPMfKXNe+LEWj6DqGs2+iX+o6Xps1xHd3ULwoqLA4SQqHcM5zuwFBB8tgSDtDX/FXjv+wNS0Kzt7f7U98txd3HUGGzhhZ3lHqfMaCMA/8APXPQGqGsfs0+MLv4baV4aGhafq2oQWDJJq19KySQ30g3SXUY2scmUmTqDmui0X4R+MD4m17ULzRZLiSGzh0uya62hbhQnmSOcdFZ5Np4/wCWZ4wBUfUVy8yg3a/z7CsZng3x9N4q0W41a+0K98N2EUSzJNqV1aOssZUsWBhmkChQOd+OvscY/h/4uTeIZNNt7TQLq5up7e3vLrE8MSWkc+WiRt7gtL5YEjIoO1e+WQNBqX7N/ja4uNTt18NW+laZ4lax07ULDSZAYUtYXmkuZHO1PmmjZbf5RkAg5OMC94m/Zg8Wal4w1vUrTS7Mw6vd6defbJhtu7J7bYGEZAO5WSJccrgs/UGtfqMbu8HrtvpsFjfXxO9x47k0C3gWSG108Xl3clh8jySbYY1HfIjmZs9MJ13cdBWV4V+GfjSGHxBqzaDJFqep6m7xwXUm3FvGwhiJIzgtHH5gGOsmD3rfj8D+OPtyB9Dh+xmdwzrOfMEWwbCF243F8gjOAMEE9K8+pga17Qg9AsVaK3v+ED8Qf9Aqb9P8aX/hA/EH/QLm/T/Gub6niP5H9wrMwKr6d+yroPxYmvvEF9rGq2V1JP5Tx2zrs+VEAIyM9K6b/hA/EH/QLm/T/GvU/hbpN7ovh+4gvYGt5WuWcK2M7SqjP5g17eT4OTxFq0Haz3uawXc8U/4YL8Lf9DLrn/fxP8KT/hgzwt/0Mmuf99p/8TX1BtFGK+3/ALPw/wDKaWR8jfsZ6BF4V+JnxW0WCSSaDTrsWkckuN7rHNMoLY7nHNeufE+xg1/xjbWRNjp93Y2Iu4r661K5s3k3O6+WnkSISF25Yknb5i4HzGvN/wBlv/kuvxr/AOwrJ/6Uz16R/YutfEK+utYXxBZWEVneT2UWnNpMFypEMzJid5PnJbGcI0eAwxk/MeHD/wC7KCXV/gwWx2/w91Sx1bwjpU2mxw29qtvGiW9tIJI4gFGFVu4xjB4yCDivGf2mv+Ro0r/rz/8AZ2r2jwBdQ6l4T06/htLaz+2QrM6WiBYmYj7y+qnGQe4Irxf9pr/kZ9J/68//AGdq9un8CuM8c3HAGeB0Ga+lf2av+RHvP+whJ/6LjryHxZcaZNZ31vaRafGlvHZGB7ZEDuzRZlyw5b5jgjPGPWvYP2bP+RFvP+whJ/6LjrUD1miiigAooooAKKKKACiiigAooooAZXnnxi/5Bmlg/wDP6n/oLV6HWD4u8J23i+zjtrqSSJY5BIGiIBzgjuD6185n+DrY/LquHoK83a19tGmdmEqRo14znsi/b6laiFP9Ii6D+Mf41N/alp/z8xf99iuC/wCFJaX/AM/9/wD99J/8RSf8KQ0v/n/vv++0/wDiK8aljM/pwUPqcdP750+zwbd/aP7v+Cd9/aVr1FzH/wB9ivlf4oMG8ZePyDuU6jppB/7dJa9q/wCFI6V/z/XxH++n/wATXh/xCtV0/wATeOLWMkpDfaXGpbrhbSUDP5V9Vk2JzGsq312goJLSzvfVHj46FGM6fspOWva3T1OJooor0iwzRmiigAr1j4Vf8lS8I/8AYuyf+j5a8nr1j4Vf8lS8I/8AYuyf+j5a7MP9v0Zw4raHqj6W5p1IvSlrjO4KKKKAGSfdP0rmZTulc9fmNdNJ90/SuYb7zfWurD7s+fzb4YiUUUV3HzQUUUUAFFFFABRRRQAUUUUAFFFFABRRRQAUUUUAFFFFABRRRQAUUUUAFFFFABRRRQAUUUUAbOi/6l/97+grQHWs7Qxi3f8A3/6CtEV5VT42fdYT+BD0HUUUVB1jOwri75YZtTv7T+17W2SWVRNbzRjzclV+4d44IA7HvXaN93muLka6F5PDNqdksrSDbttWZ1BAwPvcH65618/m3w01y31726HRR3budTqPGmzjqPLb+VcT8Ff+RXn/AOvlv/QVrttQ/wCQbP8A9c2/lXE/BX/kWZ/+vlv/AEFa8fE/8j7C/wCCX5o64f7nU9V+p6GKWkFLX3B5glFLRQAlHFeHal4+1m2+Inxi0/8AtNks9F8OWd9p0RVB5ErxXJdwcZOSkfXI4rgYP2hvH2m+D9LltLDRdVbS/AuneK9YutWmkgnnDpKZliWNdu8+VkZ2gE478czrRi7MD6ualrw34u/ETxzZ6p8LP+EHXSo4PEl3JHcRa15gBzatNGpKKSowrkkc7go6E1T0f49+Ibvxhp0k+kaavg7VPEt14WtTFNJ/aEdzD5o81wRsMZNvJwDkAp15AbqxTswPfKX+VeQfEDW9f0T47fDC0ttbmTQ9amv7e60pYY/LfyrKWVWLkbs7gp4IHFebeG/ih4tvPiFDfvr015bz+P77ww3h+GNBHHZxQfKxyobehHmswY5DY9qmVWMXawH1TScNXjlx8YNevPi94l8OaXpump4f8I21tc67d3ssv2qQTwySoLWNFKnaI8HeRknivM7j9rDxfovhmTWtX8OaIltrHh258Q+H47G7lndFiKHyrwbQASsg+dSBuUr1OA5VoR3A+sOKOK+XvE37Q3xP8EtrF1rPhfwuNN0WWwuL02eozySPa3c6xRJFmNcyqSdzMAvoD31NN/aO8S3Pjq4tbjRdLTwtb+MZvBzzw3ErXzT7Q0Uoi27QgDKGO49zgAcz9YpgfRtHFfLusftLeKdQ+GvhLUNKs9LtdZ8Q+GtX1iTzWcrZvaIjDaOSchn+8Oqj3qT/AIaD8e6doPhGyOiWes+Jb3w0PEFytjbXVwt0pcLHDGsa/u3YEFpH+RWOMEU/bwvYD6eoqtYzG6tIZnjaF5EV2jbqpIzg+4q1XRuAUUUVQCN9018t/sdf8lB+M/8A2GU/9HXVfUjfdNfLP7HLH/hY3xoTsNWjP5zXf+FeZiP94pfP8gPRfGGofCGTxpdw+Jn0Fdes445Z2vWRSc52qwJ+ZgF6HJwV9RXqGh6lBrGj2V7bJJFb3EKTRpLGY2VWUEAqfunB6dq4Dxg93a+OZm8zUtPs5NPh2Xej6SbqSVxJJuSRxE5woKlV4HzNXoGitv0mzbzJ5t0SHzLmIxyt8o5dCBtY9xgYPYV0Um3OSA8B/aaYnxZpS+ljn/yI3+FePV67+0w3/FZ6cvXGnqcf9tJK5TxRq1tcaLHBbR2L2m2EW22UGeAhBvGwAFcnO7PDHB54NdYHtv7Of/JPW/6/Zf5LXqH8VeX/ALOf/JPW/wCvyX+S16g3SgClqgjbT7kShvLaNg23rjBziuY8P+TfXlhL/a1pdCGNvIhgjEcmCoHzfMeg7AAZ+grpdYWeTTbhbaVIZih2ySDKjjqawdBmNzfW5OoWsvyk7bW3KF+O7EnjvxjtXzeN1xlNON1p1t19dbHTT+B6mL8bv+RctP8Ar5X/ANBeu40X/kE2n/XJf5CuH+Nn/IvWv/Xyv/oL13Gi/wDIJtP+uS/yFeXgf+SgxX+GB2Vf9yp+r/Q0KSlor7g8oTFHTrS01vu0gDil4r5p0X4oeJLz4Z/B/UH1Z5NS1fxWum6nJsTdLF/pm6Jhtwp/dpnGD8v5t+E/7S3izxp4q8GW+r6DotroXii41OxtZbG8ke5jmsxI5d0K7VUqgXbnOfmyAQDze3hdID6Y4o4FfOfjX44+LPhn47+Jd5qttp994P8ADmj2l5a2dvvW7klmZki524Cs4YOedoCkA8iuz+EPxH8U+JfFfizwr4x0/R7XWdBjsrj7RoVzJLbzR3KyMoAkUMCvlHJPXcMAYyaVWLlbqB6xxRx+FfMnir4jeLvBurfHxRr82oDw/oVpqWlLPBGFtJJUuGIUKo3AbE+8T92u0+G2vavpPxG1/QL7Wb7XtKg0Cw1ZJr4RtJFNK0yyIGRRwRGrbT03ccVKrJtID2f5aPlr5vX9oLxxH4Hs/FD6L4ca08T31pY+GYFvZ/Mja4m8tDegx8AZUt5fIORil/4X945vLqy8N6foWhTeL/7du9BunmuJlsN8VqLhZUOC+3a65UjOQwHY0OvBAfR/y0bhjOK+UfCf7W3izWPBt34iv/DWkWtrJ4S1DxBYLb3csjGaylEMqShlXCs+SoUkhQMkk8bN1+0f4w8O22tpr2i6FHew2WlavZf2bcyzQ/Zby9FsUlZgp8xfmbKjb0o+sUwPpbik49a+X/Efx0+IWreMLDTfC8Gh2sEPjm78MTfbjJ/pEcdms8ZYgHGcy5K91jA4LV1nhT47a/4t+Jk2m2nh5p/C8OsXmiTXEdpc+fbSW+V+0NLt8gxtIjrtDB1DIefmAarQvYD3T8aU9KWiugAooopgcR8bv+SN+PP+wFff+k71xf7Ltxa2v7OXh2e9eOOyjtp3meYgIsYkcsWzxjGc5rtPjZz8HfHY/wCoHff+k71y37J8fl/s/wDhRTzmKQ/nK9eZL/e1/hf5i6kXg/XPhFHrdvd+HV0V9aubhreGOxCPOG3spKIPur947lAG3npXsgrynwvcXMevSwXN3rVoy6jcBbKDRGSyKGVyp83ycYYEEsW5JJzzmvVV6Cuig7p3GfF/j5i3jbXie97Mf/HzWD7V2U0livxQ1JtQ8k2xubkZuBui8wh/LLcHjeVzkEetZPi6++3alHK0NtHMIgJWt5UlEjZPzMy/LuxgHHoM85rrA+0l+6PpR9aSP/Vr9KVs4NJgcJqUdtc3mrWR1e2soZpALmK4jHmcouSjFhwVxyQcHNdPr3/Iv34zk/Z3/wDQTXM3Ulz9qv4ZtVsY3MmEK25d4lKDH8WAep5z1z7V02v/APIBv/8Arg//AKCa+Qo60sS+Wzs+vr06HdL4oa/1ocn8GP8AkWJv+vh/5CvQBXn/AMF/+RYm/wCvh/5CvQFrfhf/AJE+H9Csf/vVT1HUlLRX1J54lJx60rV5Yvji5s/jX4r0W81NYNKsvDVpqkUMu1ViYzXKyy7iOmETOTgYrKc1DcD1Lj1o4r5Gtf2l/HWg+DtCEGmaXrd5F4NtvFmp3mrXJtXlj894pkQIu0uw8sqeAPmznKivRPj18SvGPh20+F934Nawt4PEOv2lhcrqiOGZZkZkjICnapCvuP3gQuOprJVoNNoD3bj2o4r530H9ofxJqHjPTJLrRNJi8Ear4guPDVrJBcyyamtxEXUSvFswI2eM8HBRWDE4HPWfFPWNe0P4nfDE2OuTW2kapqsmn3elrDHsmAtbiXezlS2cxpgAgcHrmn7WPLzID1vI9aWvmNfiF4nbxTousDXrpEvfiHP4Xm0d1j+zpZpHcBcLs3B28lJNxOfm9MV6D4g+JXiiL4nX2jaPp2jt4f0S1t7vV7i/uZEunWXfxboqlSwCcbuGJxkdaFVi1dget02vmmz/AGlPFsWhTa3qWh6Kun6p4V1HxToaWtxK0scdsiyLFdBlALMskeSmACGHoaz9L/ad8f3B1K4u/Cvh+LT9L/snUL6WHUZnk+w34/dJGpiG6ZeSzMVXjAHel9YpgfU+fal4r56vPj14usfiEtp/Y2it4STxTH4YkmF2/wBvMkke5JRHjaFXIyMknHAA5HNzftMeLPEHwdttb0ew0y11++0HXNUVW3usTWNwY12LkkkoGIB4LbR0zR9YpgfVH4/pR+NfM2qftAeO9C0XwvpUeiafrfjO40Jteu4LO1vZoJ4d4WGKIxxnbI4zln+RGAzwwI+itD1F9Y0Wwv5LSexkureOdrS5XbLCWUMUcdmGcEeoq4VI1HZAaFLRRW4BSGlpG6Gk9gPlr9lv/kuvxr/7Csn/AKUz16N4s1X4RXXjK8t/EcmgDW7NIpJ2vmjUsSWCq+Th2AQcNnAK+tedfst/8l1+Nn/YVk/9KZ69Y8ZXNxaeNSvmapp9pJYRkXmj6Q107uskmUlcRPgAMCijpmQnGVz4uGbWHT83+YlsdzoGoWuqaPaXdkrJZSxhocxlPk7YUjgY6e1eDftNf8jNpP8A15n/ANDave9BYyaTat5txOWjH7y6iMUre7IQNp9sCvBP2mv+Rn0n/rz/APZ2r2Y7IZ45X0t+zWP+KFvD/wBP8n/ouOvHvF+qWM+lRxafbWX2ErCIGWRPPjwnzgoBvGTnJPBOD6V7H+zb/wAiHdf9hCT/ANAjqgPWKKKKACiiigAooooAKKKKACiiigAooooATaKWiigBn418n/E7/kc/H/8A2EtN/wDSWWvq/wCteDeNfg34t1jxp4g1LS5tDfT9Smgl8nUDKXBji2A/KvB+Z+54NdeHcfejJpXXX1Rw4nmvCSV7M8Mor1r/AIUL44/55+E//Jj/AAqpqnwZ8X6Pp11e3Y8KR2trE00r4uTtRQSxwFyeAelCw6bspr8f8hvFWV3B/ceYUVo2N7DqN5b2lvq/hWSeeRYo1+yX4yzEADJj9TXo6/AfxswyE8J4/wC3j/CtamDlSdpyS9br9DKnjo1l7kW/Sx5PXrHwr4+KfhL/ALF2X/0fLS/8KH8cf3PCf/kx/hXUfDn4U+KfD/jqy1rW7jSWtbSyeyih08yZVSxYcMvqzd6IRjSUm5p6NaBVqSquKUGtUe3L0paatOrzz0hAKMigmo5JBFGSTgAZNAm7K7CQ/I30rmW+8frVmbUJZHO1tqdhVau6jTcNz5PMMVDEWUOgUUUV1HjhRRRQAUUUUAFFFFABRRRQAUUUUAFFFFABRRRQAUUUUAFFFFABRRRQAUUUUAFFFFABRRRQBtaOMWg9yav9qpaSMWafj/Oro7V5M/iZ93hlajD0HUUUVJ1EfrXFXl3eWOs3klv532ISKZ3EKFUO1c9XDHjGcCuvupvs9vJKqM5VSwRerYHQVy10tjc6P/bDnPmIkjxx3DCKRuAAQDg9hyK+fzRc/LFSs467202Omjpdtb6HS6h/yDrj/rm38q4j4Lf8ixP/ANfLfyWu21H/AJBs/GP3Tfyrifgn/wAivN/18t/6CtePif8AkfYX/BL80dVP/c6nqv1PRO5paTuaWvuDzAooooA4jxr8G/BXxG1G1v8AxJ4ds9VvLYbUkmU5K5zsbBG9c/wtkcnjmsLxD+zx4T8YfEJ/FGvafDqqrYWtjb6fNFiKDyJZXDDB5DebgoRtIUZBr1Sis5U4y3QHMeMvh54e+IOlw6d4h0qHVLKGVZo4Zs4RxwCMEHoSPcEg1Q0/4P8AgzR/GE3iq08O2UHiCYs7Xyp829gQzgZwrEE5YAE5OTya7Vq8f8ZfE3xP4Z+Klhpr2tpF4PuGhtkvIbQ3c8126yOYWInT7OSqrtJjkBzyRkCplyR96SA6bxV8E/BPjbxFba/rnh+31DWLYKIbuRnV0CkkYwwHc1Y0/wCEfg7SfGdx4rtPDtjb+IpyzSX8ceHLMMM+OgZhwWAye5NeI+Df2jPiB4g8D6v4vn0DSxojaBd6vp8yLsWOeKXats5892myp+ZwkW1kYbeRVvx18fPHHw3uNM0PVoPD974n8RWduugLaw3EcFxfSXgieN8uxCJDLC5JK5IfBGRjD21PewHteofDLwvqvjC08U3Wi2s3iG0XZFqG3EgGCADj72ATjdnGTjGTWHpv7Pnw50W31eCw8IaZaRatA1reJFDtDwsQWiHPyISoO1cDIBxXmtj8ePHmqajrN7Z6DZyaFp19f6fOstv5clsbeGQrLJIbnJLOi/uhCDskBDdz6P8AB3xtr/iX4X6d4u8YzaPYpqFlDqKfYFkiit4GhVz5jSOecljngAEDnG41GdOo7JAb+tfDTwz4it9Qt9S0iC7i1BLeO6jkziVYH3wg8/wsAR9K5HwT+zr4W8G+Mtd8Vy2seq+INQ1m61eC/uIgJLPz1RTEnOCBtOGPI3t0yc9lL8RPCsNo1zJ4l0dLZYYbgzNfRBPKmOIX3bsbZDwp6Mema6ZfmFbckJa2A4Cw+BPgDStYu9UtvCenJqF2LhbibytxlWcYmVgTgqwzlcY5bA5Oa13+zv8ADi+0nStNn8JWMlnpYK2anduiUsXKb87ipYk7SSPavSaKrkj2AihhS3iSONQiIAqqOgA6CpaKKsAooooASvlj9jo/8XI+Nf8A2FYv/R13X1M33a+WP2OR/wAXK+Nf/YVi/wDR15XmYj/eKXz/ACA7j4ha14V8Salc3a+NNHeSCCBYLQeKGs04lYzBhE+BuTADkEjHbFepeCI3t/B2hxyXkWoyJZQq15A++OYhBl1buD1B75riPHbaovi64/4R4zPqMumxw3itpiXsSRF5PLK7p4drZMmRlgRjKjv3nhHTxpPhfSLEfaMW9pFEPthBm+VAPnxxu45xxmtaN/aSYHgX7S//ACPdj/2DY/8A0bLXnGp+Hb3SdO0++uo1jgvgzQ/OCxC4zkDp94da9H/aY/5Hqx4/5hsf/o2WuN1vUbC68G6FYwXZku7EzNJH5ZAPmMG4Ptg13Ae7/s5/8k9b/r9l/kteot0ry/8AZz/5J63/AF+S/wAlr1GgCjqhj/s+5MxUQ+W28sMjbg5yK5jwzdahHc2tvePPHC6EQ/aIY1MmFzjKscHHOCOx9K3tavVs4YVkVWSaZYTvPA3Z/wD1fjWZb2lppWu6fBEssrSJIEDyvJ5QUDkAkhR2/EV83jdcVTlF2s0nr3OmHwNd7/gYPxu/5Fy0/wCvlf8A0F67jRf+QTaf9cl/kK4f43f8i5af9fK/+gvXcaL/AMgm0/65L/IV5eB/5KDFf4YHZV/3Kn6v9DQooor7g8oKQjNLRQBwmn/BXwRpHjCfxPZeGbGDXpXaY3ioeJGzukVc7Vc5OWABOTzya5/4R/s4+EvhLHbXNrYW9/4ghNwP7akgCTsssryEcEgEB9mepVQCccV63RWfs4XvYDltY+G/hjX9cl1jUtFtb7UZrB9LlmnTcJbVyS0LqflZSSeCD1PqaTwP8NfDXw1sZ7Pw1o9vpME7+ZL5IJaRuxZiSzYHAyeBwK6lulfMXib9pLxR4Om1zRtVt7CPxWt5bLpmnrpz+X9imvTbrc7/ALUVn4KfLmEhjjpnGc5Qpu7QHrun/AnwJpfiLUtdtvDVmmq6ksqXlw25zOspJkDBiQQcnjHcjpWr4F+Gfhf4bWdxbeGdGt9IhuH8ybydxaRgMDczEkgDgDOB2ryCX4xfEm28ZeAPC1zpuj6fqHiHUNShmuby1cD7PbRxzK6xR3D7HZGkXazt8209ODmaV+0x4raHxLb3mkaa+reDLPWrrxFFDHJHG5tiTZrBukLIsqlW3srAhHwBxWXtacdbW+QHq6/AD4drBrMI8Jad5erPvvEMZIdgxYFefkwx3fJjBweorY0P4V+FPDlvpFvpmiWtlHpMsk9kI1IMUjqUd85yxZWIJbOa8Rm+O3xN0vw1Bc32i6Kt1qmpaRY6VeTQPDDIL0OhZ4UuJWAjkVTu3jepwApBI+g4tWXR7HS4te1Cxg1G7ZLYMreTHc3JQsUhV2JOdrkJktgHrgmrhKnPZAcbrXwC8J33gW+8NaXp8WhxTaTeaNb3FupZrWC5bfKFDHnL4bnuKk0f9n7wBovhnVNBj8L6edO1aNI9QjaLi42YK55+UKRuULgKeRg10+j+OPDniKa2i0rxBpepSXUL3ECWd7HKZYkfy3kQKx3Kr/KWHAbg810C1pyQbvYDz5vgJ8P5NAGiN4VsDpQvE1AWu07ftCxrGJOuc7FCn1Gc5yc6Fr8JPCGn+NpfF1toVvB4ilzvvk3BiSNpbbnbuI4LYzjvXZUVfJHsAUUUVYBRRRQBxHxt/wCSN+Of+wHff+iHrj/2adUs9F/Z38L3l/dw2VpHbsZLi4kEca5lYDLE4HJA/Guu+OUnl/Bvxyf+oJeD84XFc7+yzHs+AnhIZzm2Y/m7V5kv97/7d/UXU5rS49JuvHVne2PjjTdXuLq98zy08SO5Qi4lfbHBvZZN0TpHswAvlAjrXvy145pFjqt9riWVvPe3PhqLWprwTLp0Syeas7syGcz8xrLuH+p3FVxk9a9jWtsMtGxnxd4gtm1PxpqcMTwxtJdygPPKsSD5ieWYgD86ztW0mfRrw2tz5ZfaGDwyLIjqRkMrDgjmtK/hs7rxpeLqM72tm93IZZI03MBuPAH+etVvE15FfaoZbeSNrfYqRRxKwWJFGFTkAnAA575rtA+2I/8AVr9BS9jSR/cX6UyZzHGzAZwucetTJ2V2BxOo3l1puralPbSTJZK6tcS+SjpEwRcnlwxG3aTgY/HNdNr3OhX/AP17v/6Ca5/VI7GTQ5tXlVjvjEssKTsscrYHykA4JOAvI54FdDrn/ICvMDjyH/8AQTXydJONPEK9043Xo7na/ih6/wCRyXwX/wCRZl/6+G/kK9BWvPvgv/yLM3/Xw38hXoK1pwv/AMijD+heP/3qp6i0UUV9UeeFcT44+D3gz4kX1peeJPDtlq9zajZHNcId2zJOxiCNyZJOxsqc9K7aipcVJWYHk3ij9m/wh408fWviLXNNttSs7XR4tIg0maAeREsczSq4wffbtxjH5V23i3wLoHjzSYtN8QaTb6rZwzpcxRXC58uVPuupHIIyRkdiR0JFdHRUKnFXstwOI034N+CtF8YS+KbHwzp9rr8jM7X0cWG3MCGcDoHYEgsACc8k1F42+CXgj4iaxbar4k8P2+r6hbxiKKeZ3BRAWYAAMB1Zu3euW+JnxU8Q+BPiT4e08pY2vhTUZbW0+2yWjXU0t5LK6i3+WZDDuRPlkKSAsTnAFeV6x+1B8SdN+Ft745i8N6fJpb6a95A1xamNbSUXEUaRSYu2ebKu4OEjKsozwcVhKpTjeLX4AfQsPwj8H23jqTxjHoFmviWQYa/2EvnbtLAZ2h9vG4DdjIzgmpNY+FPhLxD4tsfFGpaDaXmvWIVYL6RTvXaSVzzhtpJIyDg8jBrx3xZ8b/iD8OdeHh3Xbbw/eaxrWmwz+H7ixtJ0tnvDcxwS28gaYtLtWaOTKbSFViR6LpPx68feIPF3iAWHh2zm8OaPrd9otzuh2yRC3hb/AEgytcDeGkUHyxCDsYYYkZpe1prSwHp+k/AbwDoa64LHwvY2o1qCW1vhGGxJDICJIwM/IrZOVXA6egrSHwn8JLDfRLodusd9BaW1yq5Akjtf+PdTz0TPGKwPgn428QeKfhPpnjDxrdaJaLqFkmpqdOikt4bW3aMP+8aWR8kDktkAfhk9avj7w1IZNviLSm8sW5bF7H8on/1BPzf8tP4P73bNbRUGk7bgcnofwD8Jab42v/F1zptvqev3F++oQ3s0Q327MqqAOcHAHDEZGTjFaXh/4IeBPCeqXOoaP4X0/Tru4EyyywRYysuPMXHQKcD5Rx145Nd0tOqlTgtkB5vf/s+fDzVNB0rRrrwtZy6bpLyNYwkuDBvbc4Vg27azYJUnBwOOBXoFvbxWVvHBDGsUMShEjQYVVAwAAOgAqxRVKKWyAKKKKsApG6UtNbpSewHyz+y2xX49fG1O39qSH/yZnrufiHrnhzXNeFx/wmujyLbwxrFpn/CRmxG8O4m3GJ8/MrpyQdpiAH3zXC/st/8AJfvjb/2E5P8A0pnr1fxxeajZ+OM+HJJptYbTUW6t20sXkMcBkfynyZ4djFvNGAx3BeV+UGvDoa4Zer/MSOu8AqV8G6Mouob5RbJi4t7g3CScdRKeX/3u/XjpXi37TX/I0aT/ANeZ/wDQ2r3Dwfp/9k+GNNs8XCmGBYyLlVWTIHO4Ido+i8DoK8Q/aa/5GbSf+vM/+hmvah8KGeXX3h28sdNS+c28tsziNmt50lMbEZAbaTgkA/ke4NfQ37Nv/Ig3B9b+T/0BK8K1HVLb/hFxYLdQ3D+dHJEtvb+SQArBvMIA3Hpycn36596/Zz/5J8xxw15IR+Sj+lWB6lRRRQAUUUUAFFFFABRRVHVtRTSdPnu5OViUtjOMnsKAFvtVtNMh827uI4E9XbGfp6/hWKvxE0NpSn2tgP7xjbH8s14l4u8W3GoXkk88hZj0HZR6D2rlF8RN5n3v1oA+trO+gvoVlt5kmjboyHIqzXzz4H8ZTaXfRyo5MfSSPPDLX0Ba3CXVvFPGcpIodT7EZoAmooooAa33a8++LXxUtPhjo6TGP7bqVw2y1s843nuzHso/mQPp3V0zrBIY08xwp2pnG446Z7V8weKvg/8AFDxT4yl8RPLZ2t3vzb+Xef8AHunQKp29h37nJrvwVGlVqXrSSiu/U83HVqtOnajFuT7dDp5/2iNTggmkMegO0duJfLjvJGLSHOIVwnL5HPYZHNUta+OV7rVjrGk3K6CLaREsnljvpAJfOG1vLOzqgbJyOPeuUX4F/FVVVf7Ri2rc/a1H248TZz5nT73v1rtdJ+GviK00uKC/8Lx6jc+et3Pc/wDCTTx+dcjH74qFwG4H0xXrVKeDpWlBqXo/8zx4VMZUupJr1R5Tpug6BpOqpeq9ip0/UIow7alIyk5VhIAIuVBIB78GvXYf2h2UoJpNKg/fy28jZmYR7c+W/C52OAMHHBIyO9WH8C65ItyreDkK3MgmnH/CWXP7xxjDH5OSNq8+wrD8ZfC3xt4gt3XTNPGiy3Hy3Ttr8t0tygGFVg6duxzSlUo4qaVV/NtaBGnXw8W6a+5Dda/aivdLt7Wa30/T9Q3qTPHG8qPbkHo25cEHqCDXuHgnxfY+OvDtnq9g37qdMshPzRt/Ep9wa+bJvgh8V7hp3l1OORp4RBMWvifMjGcK3HIGT1rqvgr8MfH3wz8RFpo7OXRrr5bqFLnp6SAY+8P1FTisPg/Y3pTXMvPc1wuIxarWqwfK/LY+jKKb6U6vnT6Ua3eszWZ9kaxDqx5+laZrn9Sk828cjovFbUY80jzcwq+zou270K1FFFekfGBRRRQAUUUUAFFFFABRRRQAUUUUAFFFFABRRRQAUUUUAFFFFABRRRQAUUUUAFFFFABRRRQAUUUUAdBpq7bSP6VZPWoLNdttGP8AZFT9q8mW7P0CiuWnFeQ6iiipNSJsbevy1x63XhcXs10lrbvdxyfeWEF2fg5HHXnrXY47Y4rkZJnj1q6V2vYE81dogsy8b/KvJbYcnPfPavDzKTh7NpJ69Ve34nRRtrv950moH/iWznGP3bH9K4n4K/8AIsz/APXy3/oK122of8g2f/rm38q4n4K/8ixN/wBfLf8AoK14mK/5H+F/wS/NHXT/ANzqeq/U9D9aWk/ipG6V9ueYLxijFeHeIvHWvWWvahBDqEkcMc7oi7EOAGIA6Vnf8LF8Rf8AQTf/AL9p/wDE18rPiChTk4OL0I50fQOPejHvXz//AMLG8Q/9BOT/AL9p/wDE0n/CxfEX/QTf/v2n/wATWf8ArFh/5WL2iPoHFYVx4F8OXfiGLX59B0yfXYQBHqUlpG1ygAwMSEbhxx1rxv8A4WJ4j/6CUn/ftP8A4mk/4WL4i/6Ccn/ftP8A4mh8Q4d7wf4C9oj1m1+GXhHT7i/ubbwvo1vcagjJeSw6fEjXCsQXWQhcsGIBIOckVq3Xh3Sr+8sby602zuLvTyWtJ5oEd7YkYJjYjKZHHGOK8S/4WJ4i/wCgm/8A37T/AOJpP+Fi+Iv+gnJ/37T/AOJpf6wYf+R/gHtEeuzfDnwrNrk2sv4a0d9XlDLJftp8RnYFdpBfbuOQcHnkcVqLoenJo40hbC2XSlh+zCyEKiERY2+XsxjbjjGMYrw//hYniL/oJSf9+k/+JpP+Fh+Iv+gpJ/37T/4mhcQ4ZbQf4B7RHr0nw98LTW7QSeG9JeBoYbdo2sYipihOYUxtxtQ8qOi9sV0a52jmvn7/AIWL4i/6Ccn/AH7T/wCJo/4WL4i/6Ccn/ftP/iaa4iw/SLD2iPoLHvRj3r5+/wCFieI/+gnJ/wB+0/8AiaP+FjeIv+gnJ/37T/4mn/rFh/5WP2iPoLijNfPv/CxfEX/QTf8A79p/8TR/wsbxD/0FH/79p/8AE0v9YsP/ACsXtEfQI9qdXDfC3XL7XdJu5764a4kW42KzADA2qccD3ruOtfR4avHEUo1YqyZpuI3evlj9jn/kpXxq/wCwrF/6PvK+p2718r/sc5/4WR8a8df7Vi6/9dryubEf7xR+f5DPX/iJ4b1G81xdU07Tbq4kS18qSa11xrAsoYsEKhCGwSSCTxk9Mmus8FahHqvhHRr2Is0VxZwzIZJTKxDIpGXIBY+5AzXlXj7TYbzxVND4ll8HuYrJZbS51vRlkZtzuPLVnbou0ZAOfm6DjPrHg29l1Lwnot3Pb/Y5p7OGR7fZs8tigJXb2x0x2rek71JAeC/tLf8AI92H/YNT/wBGy15LXrP7S3/I92B/6hsf/o2WvJq7QPp/9nP/AJJ63/X5L/Ja9QbpXl/7Of8AyT0/9fkv8lr1BulAGdrU1rb6bPJfKslqqkurKGBHpisjQbjQ7e6jj0u3iSW4By0EWMADPzH0/qa2tTUvYXAVVcmNsKy7geOhHf6VgeHbppLi38ybUQ7R5MM9p5aKccgtsGMfWvn8VKUcXBKK162u1r3v+h0QS9mzF+Nn/IuWv/X0v/oL13Gi/wDIJtP+uS/yFcP8bv8AkW7T/r5X/wBBeu50X/kE2n/XFf5CvHwP/JQYr/DA7Kv+5U/V/oX6SlrH8UXk1h4e1C4t3Mc0UDujgA4IHB5r7OpNU4Ob6HlmtzRzXgH/AAsfxJ/0FH/79R//ABNH/Cx/En/QUf8A79R//E18z/rFh/5X+Bn7RHv/ADRzXgH/AAsfxJ/0FH/79R//ABNH/Cx/En/QUf8A79R//E0v9YsP/K/wD2iPf+a5mH4b+FLeHVYI/DOjxw6swbUI1sIgt4QSQZRt/eHLMfmzyT615N/wsfxH/wBBR/8Av1H/APE0f8LJ8Sf9BR/+/Uf/AMTS/wBYcNLeL/APaI9c0rwD4Z0E2B03w7pNh9heR7Q2tlHGbZpBtkMeF+UsAAxGMgc1ch8M6RDqV/fx6VZx3+oKqXl0tugluVUbVEjYy4A4GScCvF/+Fk+JP+go/wD36j/+Jo/4WP4k/wCgo/8A36j/APiaX+sGF/kf4B7RHqul/DHwfocZj07wpotjG08d0Ut9PhjHmxkmOTAUfMpJKnqMnGK277R7LVJLR7yygu2s5hcW7TxhzDKFKiRMj5WwzDI5wT614f8A8LJ8Sf8AQUf/AL9R/wDxNH/Cx/En/QUf/v1H/wDE0LiDDW+B/gHtEew6R4K8PaDNbS6XoWnadJaxPbwNaWscRjiZ97ou0DCl/mIHBPPWt7JrwD/hY/iT/oKP/wB+o/8A4mj/AIWP4k/6Cj/9+o//AImmuIcOtov8A9oj3/mjmvAP+Fj+JP8AoKP/AN+o/wD4mj/hY/iT/oKP/wB+o/8A4mq/1iw/8r/APaI+gOfWjn1r5/8A+FjeI/8AoKP/AN+o/wD4mj/hY3iP/oKP/wB+o/8A4ml/rFh/5WHtEfQNFZug3El1odhPK2+WS3jd24GSVBJrRr6iEueKkupocL8df+SL+OP+wLd/+iWrD/Zd/wCSDeEf+vX/ANnatf4+SGP4K+OCOv8AY90PzjYVgfs6wXUn7PXhRLGeO3uWswUllj8xV+cnlcjPGe9cEv8Ae/8At39RdRP7Pv8Awv4siu5tOvrbTLrVSokTX3eINLIdrfZ9mAGZh8oOAW5PU16+teA6Lb2Np4qtdRltfCr6+dZa3mt7fR0j1DBmZGm37iwJH7wtjlSfXNe+r0FbYd3uM+H9eYtreoE8n7RJ/wChGqK/eFW9Y/5C17/13f8A9CNVK7QPuyL/AFafSnN92kj/ANWv0FKehqZbAcTJqHheG7u7pbSFry2kIPlwAyO+AflHc8/nXR65g6HegD5fIf8A9BNc9cSvDrF+sj3tspdWT7HZF0cbF5LeWctxjr0wO1dBryj+w73/AK4P/wCgmvl6UpSoYhNJWT2Vu/mdrS54avp5nJ/Bf/kV5f8Ar4f+Qr0A15/8F/8AkV5f+vh/5CvQDS4X/wCRPh/QrH/7zU9RRSUZ4OK8O8QeP/EFnr2oW8OotHDFcSIiiNDgBiAOVr18bjqeBgp1E3fsec5cp7lmk5rwD/hY/iT/AKCj/wDfqP8A+Jo/4WP4k/6Cj/8AfqP/AOJrx/8AWLDfyv8AAnnR7/zRzXgH/Cx/En/QUf8A79R//E0f8LH8Sf8AQUf/AL9R/wDxNH+sWG/lf4B7RHsl54N0HUPEFtrt1ounXOt2qeXBqUlqjXES8nCyEblHzNwD/EfWsz/hVHgvzL+T/hEdCEmoKVvG/s2HNyCwYiT5fmG4A89wDXl3/Cx/En/QUf8A79R//E0f8LJ8Sf8AQUf/AL9R/wDxNR/rBhv5H+H+Ye0R7VqHhvStYvNPvL7TLO8vNPYvaXFxAryWzHGTGxGUJwORjoKpTeAfDNx4hOvS+HdKk1xlKtqTWcZuSCmwgybd3KfL16cdK8i/4WR4k/6Cj5/65R//ABNH/Cx/En/QUf8A79R//E0f6wYX+R/h/mHtEe2x6Dp0WijR49PtU0kQ/ZhYrCog8rbt8vy8bduONuMYqj/wgfhva4/4R/S/nECt/ocfzCH/AFIPy8+X/D/d7YryD/hY/iT/AKCj/wDfqP8A+Jo/4WP4k/6Cj/8AfqP/AOJqv9YMM/sv8A9oj34LS814B/wsfxJ/0FH/AO/Uf/xNH/Cx/En/AEFH/wC/Uf8A8TVf6xYf+V/gHtEe/wDNHNeAf8LH8Sf9BR/+/Uf/AMTR/wALH8Sf9BR/+/Uf/wATR/rFh/5X+A+dHv8AR2rwD/hY3iP/AKCj/wDfqP8A+Jr0H4W+ItR8QW9+2oXDXJjZAmVVcZBz0ArrwucUcXUVKMWmxqSeh6BSNS0jV7/Qo+V/2W/+S/fG3/sJyf8ApTPXrvxD8N6nqGvw6hpumXl5JDaeUZbTXWsCcsSUKBSG7HJPevIv2W/+S/fG3/sJyf8ApTPXbePNJhuvFxh8Tv4U+WyEtvqGt6Ksm4eY/wC6R3fnZjcwyP8AWKccmvDw7thvm/zA9T8D6kmreEdJvI95Sa3Vx5kxmbkdC5ALH3xXiX7TX/I0aT/15n/0M17X4CumvPBujTNbx2ha1j/cQxeXGnGMIuBhfTgcY4HSvFP2mv8AkZ9J/wCvP/2dq9qHwoDxyvqL9ndSvw6TPe6lP8q+Xa+pf2fcf8K5tyO9xLn86sD0uiiigAooooAKKKKACua+ISNJ4VvAo3H5Tx/vCukyKpaotrLYzRXbqsEi7W3kAc/WgD5S8SRvubg1yyxyeb0NeueKvCclreSxtGduSUYjhl7EfhXML4YIkzs70AM8NRvuXg19MeD1kj8N6eJM7vLzz6Ekj9MV5L4B8Ff2nqCiUFbeMbnbnnpwD6817hGqxqqKMKowAOABQBJRRSZFAC0VymkfEfQtc8Ya54YtLl21nRlje7geJkADruBViMPgEZ25xuXPUUzw/wDE7w14n0m41O01OOLT4LtrM3N1+4R3ADAoXxuVlIZWHDAgjIp8rXQnmj3OuorBbxVZpqtzYy74Eht4bhryVlWBhK7oqq27O7KemPmXBPZlx460C1udJhfV7MNq0jRWO2ZSs7KMsFIOD/jgdTRZjujoKWs3+3tN+0XFuNQtTcWy754vOXfEvqwzlR7mo/8AhJdIa1ubkapZm3tm2Ty+emyJs4wxzhTn1oswujWorJuPEukWtrDczapZw20yh45pLhFR1PQqScEcjp61Yn1ixtbu3tZry3hurjPkwySqry467VJyfwpWYXReoqha6xY39xcQW15b3E9u22aKKVWaM+jAHg8Hr6VfoGRzMFiZvQZrmWYuxY9Sc1valJ5dpIfaufFduHWjZ81m09YwFooorrPnwooooAKKKKACiiigAooooAKKKKACiiigAooooAKKKKACiiigAooooAKKKKACiiigAooooAKP4hRTo/mkUe9J7FQV5JG9ZSCSHIOcEj8qs+tZmituhcZ53ZrUNeXNWlY+7w8+elFi0UUVB0Faa4jt43llYIiqWZj0AHc1wGqf2VqGqNdx6nZzu7bVV7rAQEJtI56gqeO+816IcHINcVqEM0uqXUNvJObWSRROiW6thtq8K5YYGMdjXzOcxlKMFa6v87nXh3Zs6rUP+Qbcf9c2/lXjfgH4hQeE9JltZrWadmmMgaMjGCB/hXsmort024H/AEzb+VcP8GIkk8NTllDf6Qw5H+ytfN5xRxdbOcLDCVFCXJLVq/bod+FlThhajqR5lddbdyH/AIXbZ99OuB+VIfjdZf8AQPuMfhXo/wBkh5/dr+VBtYdv+rX8q9L+z89t/vkf/AF/mZe2wf8Az5f/AIF/wD5s1jUF1TVr27RWRJ5mkCt1AJJqnWt4rUDxNqmOP9Kk/wDQjWTXxcozjJxqO8lu9rs8Oo05NxVkFFFFZmepyHxO8SXng3Q7TXYZFTT7K9hOphxwLR2EckmcHAj3CQn+6jc1xvibxd4qnh1jUdNuLuHQrfWxYyTaVZR3d3a2sUDCWZI2U72NxtUgK5EYO1d2SPVtX0q01zSb3Tb+BLqxvIXt7iCQZWSN1KspHoQSPxrAHw40qHw7YaLaz6nYWlkWaN7PUZ4pmLElt8gbc+4kk7icnmvRoVaNOK51r6dP8xpnDXGveI9U8a+B4NK8bJNo3iHS7i/8+202HY/kpbYaPduIWQzM2GJIyBmsfWvjD4m8P2M9tKVn1Hw9r9wNcmkt0w+kxyQyGRQhAUizu4ZM8HdEwx1Fes6X8P8AQtFk8PvZWQt/7Bs5LDT1R22wwuIwy4zg5EScnJ49zUV18N/Dt5r2s6vNpySX2saeNMv2LHZPBgjDLnGSDtLYyQoGcAVvGvh7rmjdLyXf/INBvgLXL7xFDrd/cyxvZNqk8GnrGmMQRYiyW/i3Okjg+jgdq6aRmWN2jAdwCVUnAJ7DNZem+FtP0fwxHoFms0GnR25tlCzv5qqQQSJM7t3JO7Oc85pF8MWqshFxffLIso/0yX7wiMQz83I2nOOhb5uvNcE/Zym2tEI43Q/jZY694T8Sa2lhNaL4eilj1GKZgTBexbxNa+jshUfMpwd6461X0H4gTeE0tPCurW17feI7eTTYCzy+Y12LoMWnDEn5YzFdZBOcQcfeWtCb4K6HGunQaZ5mm2MV3a3N9bqWk+3i3LyRCQs33/OMcjSHLOI9rZ3ZGjq3w/h1T4paD4tdYw2k6fdWif33eV4yCRjGFCPg54LnHU12uWGu0lo9fu2XzHdHY/jRRRXki1Ciij8aA1Ki/tQaT8HZbrRbrRNQ1O6ZhPvgKqmCq4GT9PSj/hv7Sf8AoS9U/wC/6f4V7R8F0D6HekjJF1/7ItejeWvoK/ScupYiWFg4TsrdjojsfJ//AA39pP8A0Jmqf+BCf4VD+w1qy694q+K+qJE0K315a3Ijc5KB5LpsH3Ga+tmUYPFfLX7HX/JSPjUB/wBBWL/0dd10Sp1YYml7SfNv08iz1n4g/wBsQ+KdPvray1fVbK1EbJaaXPDHEG3N5hmV3QtldoXJKjk4B5rtvCa6jH4Z0ldVmW41QWsQupY8bWl2jeRjjGc9K8pvPhTr0niJ9QOk6PfJJe3kty82s3ER1CCSR2himQW7LiNTGAMsPkwODXr+kW7Wum2kLWkFk8cSqba1bdFEQANqHauVHQHaOB0HSvSo83PJsD55/aW/5Hqw/wCwbH/6NlryWvWv2lv+R7sP+wan/o2WvJa7QPqD9nT/AJJ4f+vyX+S16c1eafs8qV+HSZ73Up/lXpm0UAZeu38Fjp8nn3cdl5gKJNIwAViDjrXK+HksG8QWzWdzZu+1mZo7rzJHyvIwevPO7rx7muw1RYf7PuDMdsOxt7AkELjkjHtXMeHbW4k1C0eYzvBbxkQBrZYQARj5yCc8Y4AA9umPlcwjKWNpddV8tTspNKnIzvjYf+KbtP8Ar5X/ANAeoNP+L2l29lDEbW6LRoqEqgxkD61P8bf+Rbtf+vpf/QXrr9HsbdtLtD5MefKX+Eegr5mpQx9bP8R9SrKHuxvdXv8AlY9GM6McHD2sHLV7O3Y5H/hc+lf8+l3/AN8D/GqGvfFfTdU0W9s0trpJJ4WjVmQYBIxzzXpn2GD/AJ4x/wDfIrF8Y2kMfhbVSsSKfs0mDtH9016dbA57GlJzxcWrO/uf8E5JVcJZ2pv7/wDgHz5RRRXxnQ8IKKKKA1PPfGXxCk+HuvavPqkgl0RdCk1G0iRf3vnwM3nRqcfMXWSHaCc5Vsda5uz8QeM7DxVp+meKdYudIN1BFDaTWWmxTWF3cNAplV5cFo5VlLiNTsQqg4dicej+KvA+jeNJNLk1a1Ny+mXcd7bESMu2RGVlzgjcNyqdpyCVHHFQ6h4B0vVNeh1W6kv55IZVnjtXvpTarIowriHdsyOvTrz1r0qdaioWcdba6L5WHoedLrXjPT9N+IF8/iaXUf8AhG5ykNuLC3QyokEUzZOOpDuvUdqbqnxwvtP8R+MWWKN9GsdLJ0ldo3Xd9HHC7xhh1LPdwQhQD86sOvFesWfhvTrGTVnitgf7VmM94rkssrGNYzweANqKMDjiuXsfgj4P03RfD+k2+mSLZaDff2jYq1zKzJN53n5Zi2XHm7W2sSMovHyjGsa+Hd+eP4Lsv8gujs9NjuIdPtY7yYXF2sSrNKi4DuANxA7ZOTWd4y8Sf8If4av9aa1e8gsY/PnjjYKwhU5kcZ67V3NjvtwKv3mnR3t1ZzySTo9q5kQRTMisSpXDgHDjnocjOD2rBuPh3pV3apbXMupXFststq8U2oTOsiCQSfOC3zkkYJPJXKnjiuCHs+ZSmxHMa18Rm8WeC9CfQ1ntZfFl+LHSbgOUdrbDyPdjkFR9nilkTucx5wWwOi8K+Mr/AFzxRrmjXWjrZrpIiV7uG88+NpHBYRH5VxIE2ORzgSIf4qi8P/C3TPDPiiPVLAtDaW8FxHa6eMmO3eeUSTumTwGKRgKAAuDj7xFXfB/w90nwK16dJa+RLyaS4miuL6WePzZHLu4V2IBZmJJFddSWH5HGC9P69Bs6aiiivMFqFFFFUt9Rkul/tx+CNP020tTpmtyGGFIywt0AJCgZ5erf/DeHgf8A6BOuf9+E/wDi6948N6bayeHtMZraFmNrESWjBP3BWl/Zdn/z6Q/9+x/hX6nRo4v2cbVFsuh06nyX8Uf2yvCHjH4c+JNCs9N1eK61CwmtonmhQIGZSASQ3TmvbP2Y/wDkhHg7/ryH/oRqX9oOxtbf4JeNZI7WFXGmTYIjH93HpWF8HdHvNa/Zf0HT9PmWG8utJ8uOSSRkALZzllBI78gZpU41Y4r97LmfL0Vuotbk2hx+LrP4gar9ottTntrya38rUJJ4GtEjS5nZljUNuUGAwrgJkspyf4q9kH3a8j8I/DfUtB8RJcS+GtBi0+OZXs4odWnlGnKE2t5MbWwUsSztnK/fIr1z+H8K9HDxaTuUfDmsf8ha9/67v/6EaqVb1b/kLXv/AF3f/wBCNVK6wPu1fur9KZNMkMTPIwRFGSxOAB609eUX6UpUY6VLvbQDzXXpdL1K4uJo9UsZJ5JMI0l3xGu0BSBnHDZOOh7967fXP+QHe/8AXB//AEE1y2qWb3N/qNvbSXRtpXAuVjt1Yhti8I5Ixxt7HHbFdTrH/IFvR/0xf/0E18Zhoy5cTKStdbrZvU9CTV4Jf1seT/D/AOIFj4V0eS0uYJ5JDMz5jUEYIHv7V0//AAujS/8An0uv++B/jSfBu2ik8NSl41f/AEhuWAPYV332KD/nin/fIr53h/B5zLLaMqGJjGLWicL2+dz0MZVwscRNSptu/f8A4BwX/C59L/59LoD/AHB/jXlWsX6alrF9dxBljmneRQwwQCxPP519JNZW+P8AUpn/AHRXzr4owPE2rAcAXUo/8fNdGZYbM6MYvG14zj0SjbX72ePip0JQtSg0/W/6GZRRRXzx5moVynxG1vUvDOj2Wr2Lx/ZLO/gbUoXj3GSzdjHIVPVSnmLNkdRCV/irq6qavpVrrml3enX0Qns7uJoJoz0ZGBBHHsa1pyjGScloGp434m8d+MNSbUtT0pr618I2+svpr3ejWEV3fxxQAJLcJG4bev2nzkYbGYJACq/NuF3VNc8Q6h408FW+jeNd2i+IrS4uRNBYQuNsUUbKyFgSA5YnBzjp2rtf+FZ6RB4Z0rQLKXUtL03TIhDbrp+oTQvsxjDurBnz3LEkkk9TV2z8B6Hp83h+W2svIbQYJLbTwrtiKN1VWGM/NkKOTmvRdegl7se/RdtG/MDyzxF8YNe0u80/TLaW1e/steujq+4Lj+yopo4zjj5ZP9Nsz0GQrnPr6R8P/EV14qh13UZHU6eNXurOwUKoIit2+zuSR13TRTMDn7pX6Ul58L/Dt9qniHUZ7FpLvXrVbK+kaV/niC7cKM/ISMZK4J2qT0Famk+FNO0HwraeHdPiktNKtLRbKGOOVw6Rqm0YfO7dgfeznPOc1FarQlTUYRs/6uO5rlvQ5rg9L+MGl6heW1rKgtJVs76+1AyygLp8drKsTmTIBGXJ2kgAhHP8NdNJ4ZtJJnkM98CzW7EC8lA/ctuQY3dCfvf3v4s1w6/Bv7ZN45luri3tj4nv4GnEKs4NlFtzA2SMGRmuC2OP37de+dGNCzVRiKvhv4ga5Y6f4WuNS0t7i48XXpmhtpbopPZRylpEi8opwIbdVMmWA3K2OWAPrNc3qngHStW8UWXiGVr6HU7SD7NG9tfTQoY94coyKwVgWC5yOdoz0FdJWdedObUoK3cegUUUVyC1Cm6f+0h4c+DeoXWl6tZ6ldXFwkc4a0iVkC/MMZLDninfjXqPwZtYrm11PzYo5cPHjcoOODXtZSqksVFU3Z6+ZpDc8+/4bw8Ef9AjXP8Avwn/AMXQf28fA/8A0Cdcz/1wT/4uvov+y7P/AJ9If+/Y/wAKb/Zdn/z6Q/8Afsf4V+hexxf/AD8X3Gx8ofsb+ILfxV8XPivrVosiWuo3Iu4llADBXnmYA++DXtvj6TXIfGWi3dvY6hqujWhDPa6XNCvzlZA5nWR13DBiKc4GHJ5248k/ZbUR/Hz41qoCqupOAAMAD7TPXd3nwj1mbXLu6k0XRdTiuby6lupJ9YuIXvoZHcxRzKtuw2xq+0Llhx2rlwql9XUd3d/mC2PVfCbXjeHtPOo8XpiBlXeHKk/wlhwxHQkdSCa8M/ac/wCRn0n/AK8z/wChtXvujW7Wml20L2ltYtGgU21m26GP/ZU7VyP+Aj6V4F+01/yNGk/9eZ/9DavcjsrjPHK+qfgCu34a2RxjM0x/8fNfK1fVnwFUr8MdM/66Tf8Ao1qoD0SiiigAooooAKKKKAM/V9Uh0ize5m6KMBR1J9K8Kl+Ilz4x1DUZymNOt5fKt5A/EhGQ5Vf7oOAD35/HZ/aA127kittDsZWguL1xbLKvVNwLSOPogP51w1wkOk2UVnap5VvCgREXsBXTyxjT5nu9jDmcqnKtludNaeP7nTYfs0kcN9aA8QXS7gvPY9qlX4gaQG3Dw7CG6jNy5H5V5hfagdxwapLqB3fermNz1yXx5e6k0YVks4UOUhtR5aqfX3/Gu68I+PGuGitL9txY7Vn7/Rv8a8B03UG3DmtTwtrkqeJtS024lZ96pd2wY/8ALPAVgB6BgP8AvqtIU3JN9jOU1Fq/U+qBxQ1c/wCDdWbUtHQO26WE+WxPUjsfy/lS+LvFlv4TsbeeW3uL25up1tLS0tVBknmYEhBkgDhWJJIACkk8VnZvQtu2rPKfFPwd8SX+s+INW0a9ttP1HUdWYJdCV1cabPZ29vcgEDiQNCsidRuiTnk1a8SfDTxLb6bd6Z4dSxtdLudRMpjhWHzYrdbKKGNYvOhliX548MCjfIflwa7XTfiZp7XWq2mtxN4ZutNhhubhNUniVBDKZBHIJFYqQTFIOuQVOe1Xv+FkeFV0ldU/4SHTf7Oac2q3P2tNhmAJMec/fAViV6gKT2Nbc0tLo5+Wm1ueTWHwT19vD2lWN/8AZLySPT/DVrd+ZIWErWN6ZrrOVG4FDxxyeMCt7S/htrGh6jp9x/Z+n3sNr4lvr+KIyBPItbjdtKfJ95S27aOpHWvQpPHXhyLUrCwfXdOW+voxNaWpuk8yeMqzb0XOWXajnI4wpPasLWPjh4D0PSTqdz4p0n7CtzDaNMl5GQskpGzPzcAg7s/3QW6DNHNOWlh8kF1PMF+A3iO4k15rzVLye4aHWI7FvPtUt5PtfmBEkCWomKfOpIeVgGiU4OBjqte+HGu6Z/a//CL22m2kV5Z6daCJVjUqsUjecyK8bR7wjDYXVlyBlSBXodr458P319b2VtrdjPeXCK8MKXCs0gZPMXAB5ynzgdSvPTmo9P8AHmgazpupXmk6tZ6vHp6eZcfYLhJtmU3qCVOASpBGexFLml1QezhsmeafDz4N6npraDJ4jhtL/wCww6wjiYxyt/pV6JouFiROIxg7UUA8AYqbwL8PfEfhHXLJtQ0vT9dhl0rS7N7+W7PmWL28RSRUVkO5SxLggqSXbIrSn+Oa29jazz+Hb6zlvBYy20d1LFtlhuLuC2LhkZ8FDcIxUgZ6Z5yO2t/HHh681C6sotb0+S7tUeWeFblC0aIdsjEZ4CkgMex4OKbcuqFGMNLM8s+BPwa1r4danYy6xeXV5Lp+ktpgn8618iYmSJi+yO2jlYkx7gZZHI3uMsWLV7tXHx/FbwZLpX9px+KNHk0/zRALlb6NozIU8wKDnklAXAHVRu6c10ljewapZwXlrPFc206LLFPCwdJEIyGVhwQQcgj1rOTcndm0UoqyINZb9wF9TWPWlrTcxr9TWbXdRXuHyOZS5q7XYKKKK6DywooooAKKKKACiiigAooooAKKKKACiiigAooooAKKKKACiiigAooooAKKKKACiiigAooooAKdD8pZsdFPP6U2l/5Y8fxN+gqZbGtLR83Y0dEb5pB9DWwOlYejN/pDD1Wtv+GvPrL3mfXZfLmoIdRRRWJ6QzjGa43WFnsL+e7W3X7PuVndb94zjAGfLC4/XnFdbMrtCwjIR8fKxGQD9K4G+Cxahcy3P9mvfQyqUWS0HmzcLypznPYEdxXzmcT5YQVnvo9NPvOqgtWzt9Q502c/9M2/lXE/Bb/kWJ/+vlv5LXbaj/yDZ+37s/yrivgr/wAizP8A9fLf+grXlYn/AJH2F/wS/Q6qf+51PVfqeh9zQRmjuaWvuDyzgdS+Emn6lf3N295dK88jSMqlcAk544qv/wAKX03/AJ/rv81/wrfvPiJoNjdS2899smjYo6+U5wQcEZAqL/hZ3hz/AJ//APyDJ/8AE183OhlXM+blv6k2iYn/AApfTf8An+u/zX/Cj/hS+m/8/wBd/mv+Fbf/AAs/w7/z/wD/AJBk/wDiaP8AhZ/h3/n/AP8AyDJ/8TUfV8p/u/eK0exi/wDCldN/5/br/wAd/wAKP+FK6b/z+3X/AI7/AIVt/wDC0PDn/QQ/8gyf/E0f8LQ8Of8AQQ/8gyf/ABNHsMp/u/eO0TE/4Urp3/P9d/mv+FJ/wpbTv+f68/Nf8K3P+FoeHP8AoIf+QZP/AImj/haHhz/oIf8AkGT/AOJo9hlP937wsjE/4Urpv/P7df8Ajv8AhR/wpXTv+f67/Nf8K2/+FoeHP+gh/wCQZP8A4mj/AIWh4c/6CH/kGT/4mj2GU/3fvCyMT/hSum/8/wBd/mv+FH/CldN/5/rv/wAd/wAK2v8AhZ3hv/oIf+QZP/iaP+FneG/+gh/5Bk/+Jo9hlP8Ad+8LRMT/AIUvpv8Az/Xf5r/hR/wpfTf+f67/ADX/AArb/wCFn+Hf+f8A/wDIMn/xNH/Cz/Dv/P8A/wDkGT/4mj6vlP8Ad+8Vo9jF/wCFK6d/z/Xf5r/hSf8ACldN/wCf27/Nf/ia3P8AhaHhz/oIf+QZP/iaP+FneG/+f/8A8gyf/E0fV8p/u/eO0S34U8KQeErOa3t5ZJllk8wmTGc4A7D2rerM0TxBY+IoJJrCbz4422M21lwcA45A9a1K96hGnGmlS+HpYoQ9/pXyx+xz/wAlJ+NJ6/8AE2i/9HXlfU57/Svln9jj/kpXxq/7C0f/AKOu65MR/vFH5gfU69KWiivUA+af2lv+R6sP+wan/o2WvJa9Z/aW/wCR6sf+wan/AKNlryagD6m/Z+/5JzB/18S/zr0qvOPgCu34bWfvNKT/AN9V6K1AEF4u63kAGSQQBnHb17VyWhrPpurWdrLbiGJkcIF1B5QMDpsKD/62PpXRa4ly2nym3KlgpJRo9+8YPy4yOtcr4Wkgh1K0FuNOd5o285bG2CMhAB+Y54GeOec496+XzCpbF0orR3WtlrqvmddJe5IrfGz/AJF21/6+V/8AQXrt9F/5BNp/1yX+Qrh/jd/yLlp/18r/AOgvXcaL/wAgm0/65L/IV5+B/wCSgxX+GB1Vf9yp+r/Qv1S1bTk1bTrmzkZkSeNo2ZeoBGOKujpVa+vodNtZbmdtkUSl3bBOAOpwK+0qKLi1PY8o4P8A4Uvpn/P7dfmv+FH/AApfTP8An9uvzX/Ctj/haHhr/oI/+QJP/iaP+FoeGv8AoI/+QJP/AImvnPq+U/3fvJtEx/8AhS+mf8/t1+a/4Uf8KV03/n+u/wA1/wAK2f8AhaXhr/oIH/vxJ/8AE0f8LS8Nf9BA/wDfiT/4mj6vlH937wtExv8AhSum/wDP7df+O/4Uf8KV03/n9uv/AB3/AArZ/wCFpeGv+ggf+/En/wATR/wtLw1/0ED/AN+JP/iaPYZT/d+8LRMb/hSum/8AP7df+O/4Uf8ACltO/wCf66/Nf8K2f+FpeGv+ggf+/En/AMTR/wALR8Nf9BA/9+JP/iaf1fKf7v3haJjf8KW07/n+uvzX/Cj/AIUrpv8Az+3X/jv+FbP/AAtLw1/0ED/34k/+Jo/4Wl4a/wCggf8AvxJ/8TS+r5T/AHfvFyxMb/hSum/8/t1/47/hR/wpXTf+f27/ADX/AArZ/wCFpeGv+ggf+/Mn/wATR/wtLw1/0ED/AN+ZP/iaf1fKe8fvHaJjf8KX0z/n9uvzX/Cj/hS+mf8AP7dfmv8AhWz/AMLS8Nf9BA/9+JP/AImj/haXhr/oIH/vxJ/8TS+r5R/d+8LRMb/hSum/8/13+a/4Un/Cl9O7X13/AOO/4Vtf8LS8Nf8AQQP/AH4k/wDiaP8AhaXhrtqB/wC/En/xNH1fKv7v3hZHRadZLp9hbWqszLDGsYZupAGOat1XtbqO9tYriFt8UqB0bHUEZBqxX0cbcq5dijzj9on/AJIb42/7Bk38qg/Zr/5Ib4N/7B6U79pJivwJ8akdf7Ok/mKX9m9QnwN8Fgf9A6M/pXD/AMxn/bv6i6npdI3Slor0hnw3q/8AyFr3/ru//oRqnVzV/wDkLXv/AF3f/wBCNUvWgD7ti/1a/QU+mx/6tR7U2VXaNgjbXxwSMgUnsBxfiJZ9NuLy9S2UwcPI66g8JOAAWKBDyB7kkAewrptZbdot5/1xf/0E1xOqSGC+vprk6Y9/A6+UsloDNNhQQVycknoMZ5H4V22s/wDIFvPXyX/9BNfG4epzxxLWis9NPPsd0lbk/rscj8F/+RZl/wCu7fyFegdq8++C3/Isy/8AXdv5LXoPaunhf/kUYf0Hjv8AeZ+oda4HUfhHp+pahc3T3l0rzytKyrtwCSTgcV32cVy958R/D9jdTW896Umico6+TIcEHBGQtezi6eGqRSxNrdLnn6dTC/4Urpv/AD+3X5r/AIUf8KV07/n+uv8Ax3/Ctn/haXhr/oIH/vxJ/wDE0f8AC0vDX/QQP/fiT/4mvJ+r5T/d+8VomN/wpXTf+f67/Nf8KP8AhSunf8/11/47/hWz/wALS8Nf9BA/9+JP/iaP+FpeGv8AoIH/AL8Sf/E0fV8p/u/eFomN/wAKV03/AJ/br/x3/Cj/AIUrpv8Az+3X/jv+FbP/AAtLw1/0ED/34k/+Jo/4Wj4a/wCggf8AvxJ/8TT+r5T/AHfvC0TG/wCFK6d/z/XX/jv+FH/CldN/5/br/wAd/wAK2f8AhaPhr/oIH/vxJ/8AE0f8LR8Nf9BA/wDfiT/4mj6vlP8Ad+8LRMb/AIUrpv8Az+3X/jv+FH/CldN/5/br/wAd/wAK2f8AhaXhr/oIH/vxJ/8AE0f8LS8Nf9BA/wDfiT/4ml9Xyn+794WiY/8AwpXTf+f67/Nf8KP+FK6b/wA/13+a/wCFa/8AwtDw1/0Ef/IEn/xNH/C0PDX/AEEf/IEn/wATT+r5T/d+8VomP/wpXTf+f26/Nf8ACj/hS+mf8/t1+a/4Vs/8LR8Nf9BA/wDfiT/4mj/haXhr/oIH/vxJ/wDE0fV8p/u/eO0TG/4Utpv/AD+3efqv+FdF4T8H2/hGO4S3mkmExUt5mOMZ9B71W/4Wl4a/6CB/78Sf/E1q6H4m07xGsrafcfaFiID/ACMuM9OoHpXThaOXwqJ4e3N5MaS6GxTf8KdTf8K9uWwz5Z/Zd/5OA+Nv/YTf/wBKZ6+p9or5Y/Zd/wCTgPjb/wBhN/8A0pnr6orzsB/B+b/MS2CvnL9pr/kZ9J/68/8A2dq+ja+cv2mv+Ro0n/rzP/oZr0xnjlfV/wAB/wDkmOlf783/AKNevlCvrD4D/wDJMNK/3pv/AEa9AHoFFFFABRRRQAUUUUAfP/xQUzfFSxXcSIba4kKdufKUH6jn865PWs/N9K7b4r20tp8TtFuHXbBdQTwK2M7mKowH/jj/AJVy+sWe4NxXTW+GD8jno7y9Tgb7O9qopndXQX2nsWPBqiunHdnBrmOgn03O4VozK9n4q8OX4O1JHkspcdW3IWQH2yho06wIYcVa8RWpSbwxxj/ibwj/AMckrrw/x27pr8DmxC9z0a/M+gfhn/x43f8Avj+VTeP/AA3qPiC30q60qWCPVdIv0v7dLnIhmIR42jdgCVDJI43AHacHDYwWfDldtpdf74/lXYHiuW9ndG7XMrM8E8deAvFGq/a/EmoWGmSeILu60m1g0u0lkubWCG2unlBeVokZizTMS3ljaFXAbBJlvfhJ4wk1638Wwf2WNda8uZrjRf7TmjtEjlggi/d3IgLBwbZGyYcEO68cNXuw+lLV+0drGXsY3uzzDwx8MLzw9qV5d2aWOmyN4bs9HtTGzXDW0kJuD95lUvGDKmM4LbTkCuRsfhH46f8At/U9SuNHudZvINEFvC1/NJG0ljdzTSCSbyFIEgkXBWM7SxG07Qze+elK3ShVJIfs4nkOk/D3xND4qll1C00yfSLq/j1V2h1adHtpgqEosPkbZQrpw5dMjGUGMHoPAfgCXwf8H9I8JhLOC8tdIWymNqMQNceXiSQHaCQ0hZixGTkkjJrvqTbSc3LcqNNR2PH2+BNvZ+DbKz0+NDr6yaT9p1C9vJ7gmK1vIbh40eTcyp8jlUACkkZx1GH4q+CXi7x5qd6us6rYRWn2TVbCC9jmeWZo7uMoh8ry0WIIAoKB339dy4wffOaOaaqSRLpRZ4z4i8D+O9fv/DmvNb6Hb6vozXEI0u31OdLeaKaNFMn2j7OWSQGMYHlEbXdc87h6Z4S0VfDfhfSdKjt47SOztY7dYIZmlSPaoG1XYAsBjAJAJ9BW5RUyk5KzLjBRd0YWst/pCr6Ln8zVGrerNuuj7ACqlejS+BHxeNlzV5hRRRWpwhRRRQAUUUUAFFFZ2ua9p3hnT3v9WvrfTbFXSNrm6lWONWd1RAWY4yzMqj1JAoA0aKy7HxJpepatqGlWmpWtzqenlPtlnDMrTW+9dyeYgOV3LyM9Qc1qUAFFFFABRRRQAUUUUAFFFFABRRRQAUUUUAFFFFABRRRQAUUUUAFLu3ADHQYpKKBpvYt6Uf8ASh9DW8tc9px/0yP/AD2rouxrz63xH1mVu9FrzFooornPYGVxd/Hqa69O8aXEsEkbRoyzKI0z5e04J4IIkycE8119wrvE6ocMVIB964rTvCuo2s0AlsdPlhRV3IbmQguOshBjwWPHX06187mqq1HTp04tq9210/A6aPKrts67UM/2bPnj9238q4j4KnHhmfj/AJeG/wDQVruNR/5B9x6eW38q8U8D6D4l1PSZJdI1JLO38wqY2dly2Bzwp9q+XznFVcFnWGqUqTqPkkrK191rqelhacauFqRlJR1Wr+Z7ruHNG9a8vXwb45J516MD/rqx/wDZasL4H8XyY8zxIy/7u4/4V6X9vY97YCp98f8AMw+p0l/y+j+P+R534r/5GbVv+vqT/wBCNZNXNYt5rPWL2Geb7RNHMyvMf4yDyap18XOpKpNzkuVvp28jw6iUZNJ3CiiiouQVb3VLXTZrSK5mWF7uXyIQ2fnk2s20e+1WP4Vi658R/DnhuS6TUdUjgktpY4JI1VnfzJFLoiqoLMxQF9oBIUFjgc1U+K3h298SeCL6PSVVtdsimoaXuOFN3CwkiUnIwrsuxufuu1cVP4euLrwuNZ1Cz13TtevdXl1W3l0uFZbqxco0EQdCWU/uCFKkFeSOwNd9CjTqRUpy8v68h2OuuPjV4Gtb63s5PE1gLm4jSWCNZC3moyq6spAwwKupBHHzD1rXj8eeHpdP0++GrWy2moXh061ldigluQzoYhnHz7o3XHqpFcXpOm+KNZ8VfC/XNd05YL+30O+XV/Ix5cFzKtodvXuUfgZA2nmuM8VfCnxDqGveL9PtLZ/7PtpJ/Evhy4aUNGmouYJkj55UrdwTyHttuMZwSK6I4ehJpOdvmn1sFj3qx1a01K4vre2nWWaxmFvcovWKQxpIFPvskRvowq5XFfDmzudD8GXGo3+nzQanfz3Gq3doqAzB5HZhHgHlgu1Rz/CBW/JrQlAjbTr8K7CMnysYBiL54OQONuf7xArz507ScY6pBY1SwVSScAc8ms3w3r9v4o0Ky1azSRbS7jEsXmgBip6EgE9f614ZpP8AwmHh3wlq+l6yb86n4gnh0nw600xka1tJ2k8tJeu64t4RJLK2W3CMfOep6DWdJ1bSfi5ovhjTJbuPwxqsNvqT+Xct/ohsPleMDHypLushgHB8qXI+c57XhYq8efXv5LcR7NRRRXlDCiiigR6/8Fsf2Ff/APX1/wCyLXogavliy+FHj3xlcXWpeGPiHP4as1cR/YViYruCjLZDc547UXXwO+P8f/Ht8VreX/rpJLH/ACjav0nLsRVp4WnFU21bdWOiL02Pqdj8vWvln9jn/kpXxq/7C0X/AKOu6qH4JftF4/5KfY/+Bc3/AMYqH9he2vbPxV8V7fUZxdahDeWsdzOCSJJRJdB2BIHVgT0HWuiVadXE0lKDjvv6FdT66ooor3xnzR+0p/yPVh/2DU/9Gy15NXrP7Sn/ACPVh/2DU/8ARsteTUAfVvwFXb8M9O93lP8A4+a9CbpXAfApdvwx0o9dxlP/AJEavQKAKd80v2SbyWVZtpCM3TdjjP41zWgi/W6t4njuI1V2MklzMr+YCvQYPXcM5wMAHHXFa3iPTJdUs0iijhmZZFdo7hiqOBng4B/lWX4b0G8068El1Z2WcvieOd5JEUk7UUMgwoGB1HSvm8XCrVxtO0Hyrqnpv1OmHKqbu9TF+NnPhy1P/Tyv/oD13GjnGk2Y/wCmS/yFcR8bf+Rbtf8Ar6X/ANBesuy8KeNpLWJodcjSNkBRfMYYGOB9yvkamYVsDn+IdLDyq3jH4baetz1Y0YVcHDmmo2b3v5dj1nzB0zzWL4yYf8Irq3P/AC7Sf+gmuHHg/wAd/wDQdi/7+t/8RVbWPCviy10W8mvtdEtvHCzSRKWO9QORyBXqVs8xtSnKLwNRJp6u3+ZxywtKz/fL8f8AI83ooor4654YUUUUCMg+LtHXSbLUzqEIsb2SKG2n3fLK8jBUVfUkn+fpWAnxp8Evpl5qP/CQ2y2NmyrNcNuCANu2uCRhkOx8SLlTsbBODXJeHfA+rab8SJdJl01l8IaXf3Ov6ZcKyiPfcoAYNoA+ZJZLxhngJJHjPbJs9H8St4a8deGdKsdTl8IN4akg0qHWIxHcw3bLMgtoeMvFs2YLnKnABIJ2+qsNS1vK+z3S0f6gep+GfiR4Z8ZSwR6JrEGpNPFJPF5O4iSNDGHZTjBA86Pp/fFWNI8daBr2maVqOnarb3ljqs721lPC+5Z5UEhZFPqBFLn02N6V5HqXgbxPpvwY+GE+kWEq+LvD2l21hNbK+2VUmshazpnOP3cjRTHr/wAewxzipfB/wvu/CPjK90s6VMvg7SYLjUNL+zyHaZrqCOOWKIZBWQOl22cji7AB61csNQs2p7enTT8dB2Z7rRXmXwN0zxNpOk6pF4wF5LrYmT/S5pS8Mlv5Y8lY+gDIvyycZMgdskMK7e38QG4hif8AszUI/MSJ9skGGXezDBGeCu3LegYV51Sk4zcU7+YW1NXP+c1k+GfE1p4ssbi8sVl+zw3lxZbpABveGVonK4J+XejAHvjNePWdz4h8FX/jfVL6PUotMnWSLw3Hc3BkMUks4j8t15+aS4dWjyTiN0XCbStbOoeC/wCzfEXw90aGy1caZo8Uby32nTSrG8iELHFJtYAoWLO+4chVB4JB7Pq0Fo5ej+V2I9e+9S0DOKK8wAooo59OaFuM+kPDJ/4p3S/+vWL/ANAFaea+WNP+CPxquNPtZbP4tlLV4laJWR1IUgEAgA4496s/8KJ+Of8A0V7/AMdf/wCJr9Wo4qqqcV7J7Lt/mdV/I9T/AGlD/wAWI8af9g9/5ipf2cf+SG+C/wDsGxfyr53+L/wi+Lnh/wCGuv3+u/Ev+19Jht83Njh/3y7gMcj3H5V9D/s4f8kL8Ff9g2L+VTRqSqYu8ouPu9fUnqelUjdKWkbpXtlHw3q3/IWvf+u7/wDoRqvCu6aMerAfrU+rf8hW8/67P/6EajsV33tuvrIo/UUAfdCfcU+1ITQv3VHtTJlLRsFPzFSBUS0TYHH60uoreXjW6zs0iMsMyyqIYgVABIJ7Nkk4PX8K6PWs/wBj3mf+eL/+gmuSt/Ceoxzxl9P02aNUCtG1y+13B/1hHl43da67W/8AkD3Y/wCmT/8AoJr5TD06qoYipVi48yej9H5I7ZcvNBRdzjvgydvhiX/r4b+S13+4V4b4J0HxNqWlvJpGpx2lsJCpjZ2B3YGTwp9q6H/hDvHX/Qei/wC/rf8AxFfKZBneKoZdRpQwU5JLdWs/S7PUxmEpSrzk60Vd7a/5HqJIwcmvnDxR/wAjLq//AF9y/wDoZr0FPBvjf+PxBGo/2XY/+yivNtXhmt9WvYrmX7RcRzOskv8AeYEgmunMszxOMjGFXDSpru7fdo2eNiqFOlG8ail6X/VFSiiivnzzAqnqmrWmixQS3swgjmnjtkds4MkjBEUntliFGe5Aq5XOfETw7J4p8E6vp0Cg3ckPmWp/u3EZEkLDpyJEQ/hWlNc0kpbAL4j+IPh7wnJJHqupxW00axkwgM8reYXEaoigs7N5cmFUFjsbA4rKvvjZ4G02SKO48S2UbzIskY3Md6soYEYHPynNcTH4bu9X0C68TeJbDXLDxDqGqG9s10hA1zpSRRPbQADcwIKGWUqQV3XLgj16rTrPxDqy/D291e3J1C1lmkv2Cqm3NvIqsVHAJJXIHQmvTdCjFava99V2voWdQvjTQm0977+04EtEvBYNK7FQJzIIxHyOpcgfiK0odStbm+urOK4SS6tQhniU5aPcCVz9QDXhHj74c+IvEfjDW9Gt7GYaGDN4nsL4yBojqC2yQQ25B+7+8aSbpj5E5Fej/Cux1KPRtX1vW7KSx1fWtRnvJbVlG+OJMQ26kAnkwwxMRn7zt06VlVw9ONP2kJXv09SbHc0d8f1rHXxEsi2xOmaignEJ+aDHl+YW+9zxt25b03L1rxHTde8T2Mfid0vJmn8OpJ4X0QSSGSO6v7iYMs0oO7zBHH9jGTkj/SARzWVLD+0Tu7WEe56D4gtfElrcXNn5hghu57MvINoaSGRopMeoDowz3wa0/wDPWvHpfBP9h+LPAehafY6tDoOh2yGS/tZJMXMi/LFHKVYLjO6WVmXLHYOQXr2Gor04U2nB6MAooorlAK9W+CfFrqn+/H/I15TUEPw4+IfjDUbi68H+OT4ZtI0SOa1KNhm+Y7gQDnjjn0/L2snm6eKjKMbvXRGkNz6r3e1JuPpXzD/wov45/wDRXv0k/wDiaP8AhRXx0/6K7n8H/wDia/QvrNX/AJ9P8P8AM3v5EH7Lv/JwHxt/7Cb/APpTPX1PXyF+xlp99pfxY+Ktnql5/aGp21wsN1d/89pVnmDP/wACIJ/Gvr0dqMud8Om+7/MS2Fr5w/aZbPivSx6Wf/s7V9H182/tLMP+Ew08dxZjP/fTV6gzyGvq/wCA/wDyTHSv9+b/ANGvXyhX1d8B12/C/Sh/tTf+jXoA9CooooAKKKKACiiigCtPaQ3JQyxRyGM5UuoO09Mj0rzvxJ8NbmSSaWxZJkYkiE/KV74HavTaTaKAPm3VvDNxYzGO4tpIH7B1Iz9PWs5dF5+7X1BLCk8ZSRFdG6qwyDWdN4X0m4bL6dbk+yAfyoA8BstJ2/w4qDxJpr3Gr+FLVI5CTqX2guqEqqxxOTk9s5GPXmvoRPCukR4K2EI/Cr8drFAoSONY0HRVGBWtOp7OXMZ1I88eUw/B2my6fYyNKpjMpDBSMECujpu2nVkaBRRRQAUUUUAFFFFABRRRQAUnpS0n8NAHPal/x/Sfh/Kq1T3zbryX61BXqQ+FHweId6035sKKKK0OYKKKKACiiigArw74yeMPEviX4iaV8KfBw02yv77TpNY1PW9UtRdpp9skgjQxQEhZJvNKFd52gLnB7e4187fESSX4S/tK6d8RbzS7+78J6x4fbRNRvtPt2uTY3CTCWKSVFBYRFQylgDgkZwOaBorWeteMvgH8UPDlp428SWfjfR/G14uljWl0WHT7qzvAp8iN/J4kR/ugtyCeoANYOk+JPit8QvG3xV1HTfilYeEND8H65NYw6Xe6Fbz2rxRRLIWmnZhIiEZ3kHIGSMcAbXjPXLX9pL4k/DXT/Cq3114Y8O6wniPVNaNm8Nv5luCbeFHkUb3aQ/MFBwpJyDivMvD3hX4Y/wDCyvjOfib4VuNQ1K68Tzy6ekmlXc7z2xjQgxeWhDAtux60FHe+KPjd468V/AP4Q67ot3F4I8S+N9bs9Murr7CtytskkVw7SRRTcYYwqw3Z+V+pOGrsPhf4k8eeGfjFcfDvxZ4mtvH0DaIdaTXItMSxntG85YhbypETHhxuZDwx2P1A48W8aeH9U1D4A/C2PxrpWsXeiQePkuWttUhkuLuDR9l4Lf7UE3MGEbRq2eQSAecV2nw90XRLX9oHwxP8H9G1DSfCP2S7Piqb7LNbWFwPLItQvnAF5hLjJUZC8E44oA9P/ak8YeI/BPwju77wnqKaRrs1/Y2VvfSQJMIfOuY4y2xwVPDEcg/niuD8VftAeIZP2R/Fni+xkXRfHfhtDYajH5aSfZr+KVEl+R1I2sGDruH3ZFPvXY/tZWFzqXwnhhtLeW5l/t3Sm2RIWbaL2Ik4HYCvEP23Ph3rvhXTfFPiHwjp13qel+NtPXSdc0mwhaVlvEkR7a9CL3IVo3IGeV4JJIQH0p8RPjf4d+Gd1Y6bfJqWr6/ewm4t9D0Gwkvr6WJWVXlEUYOEBb7zEA4OMkEVxfxQ/am0Twz8Db34heFoZvEKJOLSOH7HcKIphMsUkdxhN0DLuOPMC5O0DO4Z4X4nWM/hH9ozVPEWv+JPE3hDw9quhWtvZa7odpHPBG8LP5sE7NDKYtxdGXAAYg5JIGKfjL4c2N9+yf8AFW18D3XiDxZcarqf9sz3GqWXk3F3MHtZpnhQRR71KR5G1TubcBk0Ae/aL8ZPD+rTaHbSLqmlXWtXElpZw6rpVzZNLNHEJWUCVFONmSG6HawByprU0H4leHfE3jHxJ4Y07UFudY8OiA6jCoOIfOVig3dCcI2QOmOa8b+M3iiDx78FtM+IHgmK81a98Hapa6xDDHayRTXCxFRcwJvUHDQySKzAEcMOTkV4x4q0bxT4Xs7D4peHNJuptX+IkWsaJextbyRTxreSmTTGkRc7GjWPaZW4AKjjNMLH1Dd/tL+AbXwPofipdUnu7DXppbbSLa0tJZbvUJo3dGjhgVS7HchGcAcrkjcM6/gH41eGviJY6tLYSXtje6Oqtqel6rZSWl7Zbk3qJInAIyvIIyD61414i8O2nwD+J3wm1e8028vvAuh+G5/Dy3lvatcf2VdERkXcqoCVDxo6NIB1c54Na3h+8X4jfGLx5430K0u38MHwdDosOoTWrwLeXKy3EreUHAZ1CyoN2MZyO1AWLPjz9ozQ/G3wr+IDeCLvVWnsPDl1f2+vW9pLFarIsf3I7jABlQshKg5GfY46L4M/F/S9Q8KfDDw3qOp3GpeMtY8K2WqzoI3mcJ9mjLzzuAQgZzgM5GWYDqRXA+G9FvbX/gnummtYTw6h/wAIZMhtDCyy7zC/BTGcmsb9ky11H4LtoHh3xHpN/MnjDR9PvtO8QSWpLxypZxh9OuWA3R+VhvKDcbSw4YfMAfXFFFFBAUUUUAFFFFABRRRQBLZn/TI/96ulHauZt/8Aj5j/AN8V038NcFf4kfU5T/CkvMWiiiuY9wTaKNopaKAKWqf8g+fH/PNv5VxHwV/5Fmf/AK+G/wDQVruNU/5B8/8A1zb+VcP8Ff8AkWJ/+vlv/QVr4rF/8lBhv8EvzR6dP/c6nqv1PQvWhvu0opa+1PMPnbxVpt3J4k1NktZnRrmQgiMkH5j7Vl/2Xe/8+c//AH6b/CvpkqPTmjYvpXxtTh+NSbnz7vsZez8z5m/su9/585/+/Tf4Uf2Xe/8APnP/AN+m/wAK+mfLHpSbB6VH+rkf5/wD2fmfM/8AZd72s5x/2yb/AAo/su9/585/+/Tf4V9MbB6UbB6Uf6ux/wCfn4B7PzPmj+y73n/Q5/8Av03+FJ/Zd7/z6XH/AH6b/CvpjYPSneWPSj/VyP8AP+Aez8z5l/su9/585/8Av03+FH9l3v8Az5z/APfpv8K+mfLHpS+WPSj/AFdj/wA/PwD2fmfMp0m8YgmymJHTMTcfpUJ8OyteLdnTGN0sZiE3kHeEJBK5xnBIBx6gelfT2welL5Y9BT/1dj/z8/APZ+Z8zf2Xe/8APnP/AN+m/wAKP7Lvf+fOf/v03+FfTGwelO8taX+rkf8An5+Aez8z5l/su9/585/+/Tf4Uf2Xe/8APnP/AN+m/wAK+mfLHpR5Y9KP9XI/z/gHs/M4D4OW8tvol6ssTxMbnOHUjPyL616EtIFC9OKXNfU4Wh9VoxpJ3saLRWBvumvlf9jf/kpXxr/7C0X/AKOu6+qK+Vv2N/8AkpXxq/7C0X/o67rnxP8AvFH1Yz6qooor1APmj9pb/kerH/sHR/8Ao2WvJq9Z/aU/5Hqy/wCwbH/6NlryagD60+B//JL9Fx6S/wDo567yuE+B/wDyS/RPpL/6Oeu7oATaKNopaKAPOPjd/wAi7a/9fK/+gvXcaP8A8gm0/wCuS/yFcP8AG7/kXLT/AK+l/wDQXrt9F/5BNp/1yX+Qr4jA/wDJQYr/AAwPUq/7lT9X+hePesbxhG0nhfVVRSzG2cAAZJ4NbdI3SvsatP2kJQ7qx5Z8x/2Xef8APpN/37P+FH9l3n/PpN/37P8AhX01tX0H5UeWPQflXx3+ri/5+fgZezR8y/2Xef8APpN/37P+FH9l3n/PpN/37P8AhX0z5Y9B+VHlj0H5U/8AVtf8/PwD2fmfM39l3n/PpN/37P8AhR/Zd5/z6Tf9+z/hX0zsX0H5UeWPQflR/q2v+fn4B7PzPmf+zb3/AJ9Jv+/Z/wAKT+y7z/n0m/79n/Cvpry19B+VHlr6D8qX+ri/5+fgHs/M+Zf7LvP+fSb/AL9n/Cj+zL3/AJ9Jv+/bf4V9M+WPQflR5Y9B+VP/AFbX/Pz8A9n5nzK2k3bdbOY855jP+FL/AGZe/wDPpN/37P8AhX0z5Y9B+VGxfQflR/q4v+fn4B7PzPmb+y7z/n0m/wC/Z/wo/su8/wCfSb/v2f8ACvpnYvoPyo2L6D8qP9W1/wA/PwF7Ndz5m/su8/59Jv8Av2f8KP7LvP8An0m/79t/hX01tX0H5UbF9B+VC4cX/Pz8B+zRneG1ZPD+mqwKsLaMEHqDtFalJ24pa+yhHkio9jU8s/ae/wCSC+Mv+vP/ANqLVr9m/wD5IZ4K/wCwbF/KqH7VH/JAfGX/AF6p/wCjUrQ/Zx/5Ib4K/wCwbF/KuH/mM/7d/UXU9Iooor0hnw1q3/IWvf8Aru//AKEaTSQG1SzB5BmT/wBCFO1f/kLXv/Xd/wD0I0uhru1vTwO9xGP/AB4UAfcKfdX6Uu0Ui/dH0p1ADdo44qjrSj+yrsf9Mn/kav8AcVQ1j/kF3X/XJv5GuLGf7vU9H+RdP40cb8GP+Rbm/wCvhv5CvQa8++C//Itz/wDXw38hXoNeFwv/AMijD+h24/8A3mfqI3evnfxNpt3J4j1RltZmVrqUgiM4I3mvommmNfQV6WY5f9fgoOVrHnNXPmX+y7z/AJ9Jv+/Z/wAKP7LvP+fSb/v2f8K+mvLX0H5UmxfQflXgf6uL/n5+Bn7PzPmb+y7z/n0m/wC/Z/wo/su8/wCfSb/v2f8ACvpnYvoPyo8seg/Kj/Vxf8/PwD2fmfM39l3n/PpN/wB+z/hR/Zd5/wA+k3/ftv8ACvpnYvoPyo8seg/Kn/q2v+fn4B7PzPmb+zL3/n0m/wC/Z/wo/su8/wCfSb/v2f8ACvpnYvoPyo8seg/Kj/Vtf8/PwD2fmfM39l3n/PpN/wB+z/hUFr4dexVlt9L8hWkaZljt9oZ2OWc4HJJJJPU5r6g8sf3R+VL5a/3R+VH+rlv+Xn4B7PzPmX+y7z/n0m/79n/Cj+y7zvaTH/tmf8K+mvLX0H5Unlj0H5Uv9XF/z8/APZ+Z8zf2Xef8+k3/AH7P+FH9l3n/AD6Tf9+z/hX0z5Y9B+VHlj0H5U/9W1/z8/APZ+Z8zf2Xef8APpN/37P+Feo/Bm3lt7XUxLE8W548BlIzwa9I8lP7o/KnKoxwMV3YHJlg6yq897eQ4w5XcdSNS0jV9O9jQ+V/2XR/xkB8bP8AsJyf+lU9fVFfLH7L3/Jfvjb/ANhN/wD0pnr6nrzcv/gfN/mJC180/tKN/wAVpZj0s1/9Cavpavmb9pBj/wAJxbjsLRP/AEJq9MZ5RX1f8B/+SY6Tnrum/wDRr18oV9X/AAH/AOSY6V/vzf8Ao16APQaKKKACiiigAooooAKKKKACiiigAooooAKKKKACiiigAooooAKKKKACiiigApKWkoA5m6/4+pD/ALR/nUdS3X/HxJ/vGoq9WPwo+Br/AMWXqFFFFWYBRRRQAUUUUAFJtHpS15fbfGaPTvi14l8F+IreHSFstNXWdMvi7Fb2zAxOxyoCtE45AJyrAjvgGj08KF4AA+lG0ZzgZrxrwj8W/G/jz4Xx+K9E8EwTz6tqEsej2d1f/Zwun/MIby5LKSoYqG2RhyVdCM5IC/C34zeJNc+Juu/Dzxx4btdA8TWFhHq1vPpd2bqzu7R2Ee5WZVYMr5XBXnB9OQdj2Xg9RmkAA6CvBPhl8VPiz8TtN0rxDZ+EfCtt4Wv52xJLrM4u1gWVkZvLEG3fhSQN2PcV7N4h8U6N4RsGvtd1ax0WyXANzqFykEYyQANzkDqQOvcUAa1JgHrzVBfEGmtZ212uoWrW1yypBMJl2Ss33QjZwxPYDrVmS8ghmhikmjjkmJEaMwDOQMkKO/HPFArExUN1GaXA24xxWJH418PTeIJNCj13TZNcjTzH0xbuM3KrkDcY87gMkc471JrfizRPDcMkur6xYaXFEEMj3tykIQM21CSxGNzcD1PFAGttG3GOPSjaPSvBNS+MvxG1j4veOPB/gzwpoGp2vhRbBrm41TVJbaWb7TB5qhFWJlyNrDkjt+Hf/C34t6d8SPh3F4rlgfw/Gkk1ve2uoOFNnNC7Ryo7nA+VlPPSgZ3hAbgjI96AoHAGBWT4e8VaJ4u08X+haxY61YFioutOuUniyOCNyEjIqGw8deHNVudStbHxBpd5dabn7bDb3sbva9f9aA2U6H72OlAjdwOmOKTaPSuK+GfxY0L4paHLqelzLGkVzdW7QyyIZAIJnhaTAJwpKEg+hFbuj+MdB8QX17ZaVrenaleWTbLq3tLqOWS3b+66qSVPscUAbNFFFAgooooAKKKKACiiigB0P+uQ/wC0P5100f3R9K5mP/WL9RXSx/dH0rhxG6Ppsp+GRJRRRXKe+FFFFAFPVP8AjwuP+ubfyrh/gn/yLM//AF8t/wCgrXcap/yD7j/rm38q4f4K/wDIsz/9fTf+grXxWM/5KDDf4J/oelT/ANzqeq/U9D7milpK+1PNKbTOJCAe9N86T1/Skk/1jfWk718XUxFVTklN7nRZD/Of+9+lcF8TPiFrPg698I6doek2eran4i1R9NiXUL1rSGLZaXFyXZ1ilJ+W2KgBerDmu6xXA/FDwHrHjK78JaloOs2Wjar4d1R9ShfUdPe9gl3WlxbMjIk0LfduCwIfqo4NKliKnOuebt6sbSKegfHCK80vV21jQ9W0vV9H1N9Jv9PsrObUdkywR3AZGgQlo2hmjdWIUncFxu+WotJ/aO8Ma54qk0awTWL2P+w7PxBBqNro91NbT21yszRlWSI87YSQDjcW2rllZRi3nwE1oaej2XjOT+3bvVpdY1i8vLaYwX8jwJAFEUFxCUWOOKJYwXYDywWDnJqjpf7Ouu+HtDsdM0fxsunovg/TvCt3dJp7C4c2QnMFxC6zr5WWuH3odxK4Cuh+auv2y353+JNvI9R8N/EnSvF9rq7aXNPLdaVKYLyymt3huIZNgkVWjcBhuVlIPQhhg15RY/taWsPwxfx7qmnW1xozX9lpyW3hu8fVLy3nuJo4zDdRLCvkSx+ahZMsc/KPmZQ3YfC34T6j8PR4oubrXo9R1PXpIpnmt7aSOO3dIRECizTTORhVbDu3O7nBAHG+If2a9Y8aJ4mvNc8VabHr+qQ2CQX2jaD9kjEtndR3UE1yjTyG4YPFGh+dAI9yrtJyJjiPealJ29WFvI9Ek+OXhaHWotLkvb2K4ea3tnkk0y5SC3nnRXhhmlMYSKRldPkcggugIBdQTT/jh4a1f+2jps2pammj3jWF3JZaTdTILlZZIniVljIdkeJg20kL8uSAwzyd58C9cvNYvSPFVnFoeravZa9q1kmlN58t5biA4gmM5EULtawsUZJGHzAPgjFm6+COqw+CH0XSfFZ067PiS818zm2k8idLi5nmNrMkc0cjIPPHKyoS0SE/LlCvbL+d/ew5fI0rr9pbwDB4dtddj1qW/wBIuNPOqC70+wuLpI7YSeWZJPLjby8PlSGwwKPkDY2Nmz+Mnhq+8SJocV9O16br7CHNlOIPtPleaYPOKbPMCZJXdkYIOCCK+ebr9nnXPh/bQ6RpqX/im3s9LnhslkhH2XU55b66u/IvFWZNsY8xFJY7GyT3KV6p4S+BF34Z8eT61/aWm3Wjz6rca2unXdhLLdWl1OrGUQ3AuFjCeZJIwzAWAdl3YxipVrK/Owtqdd40+JF94S8aeDtGGjtc2PiK/awOpG5VBbyC3nnAEeCXOID6D5upxiu586T+9+leZ/En4d+KPGXi/wAHappfiLSdK03w7qA1L7JeaPLdTXEvkzwMPNW6jCqY5zgbCQyg5I+WvSVz3OTXNLET5Y8s3frqyuVD/Ok9f0o86T+9+lJRWP1it/OxcqLNuxZeeamqva/dP1qwK+twknKjFyd2Yy3Cvlf9jj/kpXxq/wCwvH/6Ou6+qG+6a+Vv2OP+SmfGsf8AUVi/9HXlYYn/AHij6sk+qqKKK9QD5o/aU/5Hqxx/0DkH/kWWvJq9W/aSbd48th6WEY/8fkrymgD60+B//JLdE+kv/o567yuD+B//ACS3RPpL/wCjnrvKACiiigDzj43f8i5af9fS/wDoL12+i/8AIJtP+uS/yFcR8bv+Rdtf+vlf/QXruNF/5BVmP+mK/wAhXw+C/wCSgxX+GB6lX/cqfq/0Lx6GmSHahI44p570yb7jfSvsqrtCT8jzFuVfOf1/Sjzn9f0ptFfGfWq38zOjlQ/z3/vfpXl3iv4reJ9H8T+ILLSvDVjq2laDZQX17PJqjQXTrIJWKxReQyMQsR+9IuSccV6bXlviz4W+JNa8Wa/e6X4qsdJ0bXrKCxvrdtJaa8VY/MDGGfzwiFlkI+aF8Yzz0ralial3zT/FicextL8bvDS3mh2011dwNrQhFlNNYTLbSvNG0kUYn2eWXZVb5QxORjqQDkeDf2itB8ZeDG8SW2n+IorRb2axML6BeNPvjLgsEWIkrhD8wGM/J9/5a5zWP2cbzUPGmk6jb+LJIPD2mX2n39ro80EsjW5tUVBDGwnWNYnClzmIvvYneVwge3wH8Sw6DaaPY+N47Szs9butRhVdPmQvbz+azQy+XcpvdHlLI/CfKu6N8Zro9sv5397FbyOv8cfGOw8N/CeDx7pb2+q6RdR2c9tdTzm3tfIuXjVLiWQoxjhVZRIzbTtUE44rPX48W+k+KPDfhrxBpl3ba3rVrJdrNpNvcX+nRosqorfalhVdrB1cswUKCN2Mrm34d+HGs+DPgv4W8E6LrliNQ0LSbLSv7Q1HTDcW10sEKRMZLcSocOFJwJBgkckAg8r4V/Z1uvA9v4ai0XXrG3isW1MX9u2lH7PJFf3K3E0dpGsyi1VGBWMEyBVIyGIyV9Y01m/xFY623/aC8HTafqV8+qXNpZ2OmTazJcXen3EMcllF/rJ4meMCRFyCdmThlOMMpM8vxy8OW9tp9zcHWLa2vfL8ua40O9iRBJL5SeYWhGzc+BhsEBlJABBrzy+/Zq1fxH4VvNH8Q+LbW+kh8LXnhTSLqz0hrc20FykaSSzqZ286TEMX3TEvDcfMMbfxO+B+ufEDxouqQ+MDYaKyWIk0ma2mlCNbXJnLRFbhI1MmVVi8UhwgwR0o9sr25397Kt5HTN8ePCK+Iv7F/tK5N1i8bzl0+4Nti0OLo+eI/LxE2EY7sByE+9xWn4P+KeiePLq7tdKuLoXNrBBdSW95YzWsnkzBjFKqyou5G2PyM4KkHBBFfPng/wCDPiceKtYstS0+f7Frmp+JItTuLs/JpunXtxNND9hkEu0vKwtmZfKJ+8WKsgD+0/Cn4a33gP7U+qXuk6ndvFFbQ3dhp89tL5KZwshluZ93Jz8uwAk8c8FSq4rSbv6iS8hPA/xZ1HxZ8VPHHg690I6P/wAI3a6fdxXTXaytdpdG5AJQLiPH2Yn7zZDjO0jFek+c3979K8i8F/CvxV4d+M3izxvqHijSL+y8Q2tnZS6ba6JLbyRR2puDAVmN24Lf6S287MNtGAvNes1hVxE+b3Jv72NRXYf50nrSNNJ60lNaslia387DlRfjyV96fTIvuD6U+vs6b9xHOeT/ALVH/JAfGP8A17IP/IqVf/Zx/wCSG+C/+wbF/Ksj9rTP/DPPi/t+6g/9KIq2P2c/+SH+Cv8AsGRfyrh/5jf+3f1F1PSKRvumlor0xnwzq3/IVvP+uz/+hGp/DS7vEelD1u4v/QxUWr/8ha9/67v/AOhGrPhNd3irRgehvYf/AEYtAH20v3RS0i/dFLQAhqjrH/ILu/8Ari38jV41R1j/AJBd3/1xb+Rrjxn+71PR/kXT+NHG/Bf/AJFub/r4f+Qr0Dua8++DH/Itzf8AXw38hXoOeteBwv8A8ifD+h24/wD3qfqBqnJMwYgN3q52qhJ98/U16WY1J04RcHY44K47zn9f0o85/X9KbRXz31qt/MzXlRxXxN8fax4PXw5Bo2mWerajrWqLpscd/etaQx5hllLs6xSnpFjAXv1rH0P48Wk1nrcWuadeafreh3403UrHTbabUljlNutwrq8UWTGY2BDMq8/KQGIB1Pih4I1fxhD4duND1ey0bVNF1RdSik1Cwe8hkxDLEUaNJom6Sk5D9uhrhtW/Z31W8X7dY+M5LHX77VW1TW7hbR1ttQLW32dY/KimjZVjVUMYaRwCuXEhOa64YhuKUpO/qxcp0dn+0d4Y1LxSujWSazeo+kLrUWoWmjXc1rNbtGZAUkWIhyUHAGSWOwZf5a6zwb8Q9L8eQ6i+lSXQfTrr7HdwXlnLaywy+WkoVklVW5jljYHGCGFeZ6b+z9rWg+GNG0XSfGS2KWng8+FLi9XT2+1MyxFYruB1mAhdXO8gh84ABU/NXS/Br4V6h8M18UyanrNvrF7rupJqDva2s0EcO20t7YIPOnnduLcNlnP3sdqqVd2bU397C3kct4V/af8A7U+GWqePNW0ZbXRrS4jthYaTNLfalBK0/kvBd2wgVoJoyU3RgvjJ54BPYX37QHhDS763tru/vLWSY2aPJNplykVq90QLaO4cx7YHcso2yFSpddwXcM8RJ+znrOr614j8Qav4q0+TxHq2l22li503RntLdxBOJ457qH7Q32iUMoUNuTahdVC7jV/WvgRrfiK51u3vvE9gdC8TTWV54hsotIdZbi4gihjf7NKbgiCKRbaIFGWVgN2HDHcKddP7b/EXyOrtfjz4Z1K/1S006TVNUm0y8fTrprDRrueOO6SRo3h8xYiu5WXnnABBJAINQan+0X4J0vR7XUptWuXguLU3vlwabcyzxQiUQ7pYVjLxZkOwB1BLKwAO1sZepfBnVv8AhDRo+keJl0+7XxFf6950lvN5My3N1cz/AGeVIbiJ2RTcDkSLuMSkjBK1474s+BnjHwvqkX9mWsnidtP8NiGxVbRVstT1H7dPcrDcL9oWSOJSY/8AWSOh3kghlIkIVeZ/G/vC3kfR8/xa8PWviaLQZb6ZL6S6WxEjWsvkC4aPzFhM23yw5TkAtySB94gVD4x+IWoeF/G3grRE0j7VYeIr+Swk1E3Kp9mdbS5uRiPaS+RbFeq43A5OMVytt8ELmH4j3mvtqGm3ejXmox6tLp15p80lxFcpGiqYphcrGoDRIw3QsQc89Ma3xN+H/inxf4k8H6noPiLR9Gh8PX76iINR0eW9aeVrae2I3JdQ7V2XLnGCdwU5xkHP275kuZ2trqx8vkeliZ8fepPOf1/SmduaK5PrNb+d/ePlRJ5z+tS28jNnJzVap7XvXoYGtUnWSlJtEySsWqRqWkavqXsYHyx+y7/yX742/wDYTk/9KZ6+p6+V/wBlz/k4D42f9hOT/wBKp6+qK83L/wCB83+YkLXzF+0Y27x9Guelon82r6dr5e/aKYf8LCx6WkX82r0xnmFfV3wG/wCSX6V/vzf+jXr5Rr6u+Av/ACS/Sv8Afm/9GvQB6FRRRQAUUUUAFFFFABRRRQAUUUUAFFFFABRRRQAUUUUAFFFFABRRRQAUUUUAFJ60tJQBzN1/x9Sf7xqOpLr/AI+pP941HXqx+FHwFb+LL1CiiirMQooooAKKKKACvkj9q7wve/tAeOLLwR4StrR9X8JWc2s6lqVwpIQSxOkWncMMi5G7eOgRQfY/W9Zmm+HdN0e+1G8srKG2utSmE95NGuGnkChAznuQqqv0AFBUWeYeG/2ivBp+BumeOmkWx0/atiNKhUNcLeg+X9ijiHLS7xtCjqMN93mq3wV+Ht7p/ibxN8SvF9zF/wAJh4kRE+xh1ZNIsIxmO1Vh1I+87dC2Ou3c3b6t8G/BGuabfafqHhfTLyxvr9tUubaa3Vo5bthhp2XoXI6nqag8K/Av4feBdW/tPw/4P0fSL/y2i+0WloqPsb7y5A6HvQO54V8XPCmjfA34X6V4q+Gvi7VbG6W+tTo2lx6291YayZpgRbLFIzqyurOwKYxjdyAa619L0fxR+1jqFp4stLW/ltvC1rNolnqCCRFZppheNEjfKW4hDEDIGPU16F4f/Z9+G3hXxEuu6R4I0PTtWVt6XVvYorRt6pxhD/u4rW8dfCvwj8Tre3h8V+HdP16O3JaH7bAHaMnrtPUZwM4PYUBc+TtN+G8XxI0n9onw74Ck8nQdM1myvvCz2jYhttYhgE1wsDEjZmYIpIO0CTIra8K+PNU/aO1nXPiV4aRmTwn4KlstFjgUSf8AE9u7cTT+V3JjCwxlWByWU+tfVvhzwzpPhHR7fSdE0610nTLcEQ2dlCsUUeSScKowMkkn1JJ71F4Z8H6J4Nt7uDQ9KtNKhurl7yeO0iWMSzOcvI2OrHA5PoKAuj41+Ffw11f4g/s9+Cb2xi8A2Fkj2OpS+JGuLj+0o7qOdJJ2kkMfEzOJEYFsfOQDjFexzeB9C8Xfth67ca3pdtqj6f4P057ZbpPMSNnurxWYIeCcDGSMjJx1NegXH7P/AMN7rxU/iSXwRocmuSSm4a9ayQu0pO4yHjBfPO7Gc85zXXw+H9Oh1yfWUsoV1a4t0tZbwKPMeFGZkQn+6C7ED/aNAXPku6+GviP4gftEftEQ+E/HGreCtYt7fQVt2sCn2eZmsWwJgUL4AUgMjKV3k/NgCt/wh488N6N+zj4DsW8FWM95fa4nh99Bv5ylrBqySSmZpZZRI2A8MjAnexJUZJOa+krHwxpOl65qusWmnwW+qaoIhfXcaASXHlKVj3nvtUkD2rI1D4U+D9W0fWNJvPDem3Gnaxcm81C1kt1MdzOcfvHHd/lX5uvFAXPAfhrZlfjx8ZNGvhofhqM+GdPW5j0G5321ozC5/eOSke2QIyk5UcbTnBFavwb0WX4d+LNB+G/irwz4Xv76TQbg2HiXRIAn2y0iMUUiXMLLkMweMkhmRjngY59n8M/CbwZ4N0+ex0PwxpemWlxB9mmht7VFWaPnKuMfMDuOc5zmovA/wd8E/DW6u7jwt4X0zQri74nms7dUZxnO3PXGe3SgDwD4T6p4Q+HP7LvjbxPqnh+01G0s9R1yC+tra3QyzwnUJlEDcfdKlODwFxxisS8muLX9pj9n+ZdC8LeGPt1rqUotfDV99oeSB7RSvnMIYwyZB2MAQSGI6V9PWfwl8F2GvazrVv4Y0uLVNZge21G4W2XN3G2N6SDGGDYGQRz3qv4V+CvgTwMySeH/AAnpOkSJci8V7W1VGEoSRA2cZ4WWQD0DtjrQB29FFFBAUUUUAFFFFABRRRQAq/eX6100f3R9K5la6aP7o+lcWI6H0mU7SJKKKK5D6EKKKKAKeq/8eFx/1zb+VeUfDPxppHh3QJre/uvJm+0MwXy3bjC88A169IgkVlYZBGCKw/8AhBdB6nSbT/v0v+FfG5rl2PrY6ljcBKKlFNe8m1rbsejh61GNKVKsm02npboZ3/C2PDP/AEEG/wDAeX/4mj/hbHhrnGoMf+2En/xNan/CC6B/0CLT/v0v+FH/AAg2gf8AQItP+/S/4VHsuJP+flL7pf5l82B7S+9f5DtO1S21i1S7tJBLbyZKuARnnHf3q3mo4LWKyjEMKLHGnCogwAKkritUWlVrm622v5HM7X93YWvO/ip4w17w5qPgrSfD39nx3/iPV5NONxqcLyxQKllc3JbYjoWJ+zbfvD72e2K9Erh/iN8Pp/HM/hu7stal0HUtB1FtRtbmO3ScFmtprdlZG4I2XD/QgVtTcVJOWwmcppvxy1PT9D8QjXfC19qGveH9YbR7y30IwCKY/Z4rlJ42uJ0VUaG4iOx3D7iVAbGSuh/tCJ4k8ZzafpfhfWNU8ON4d0/xDa69aJEY5orsXJjBiaRZRuEAVf3eQ27eEUBis37PNn/ZcEdr4i1Eau1/c6je6zdwW09xeTzxeU8rIYxEJEQIIzs2oI0GxlG057fsyQQ+G7XQ7HxVqVlYjwtYeFbrbBCzzxWXmm2lBZTtbdPJvUhldSBgYyel+xs31J1O58C/FC1+IOnaxJY6ZeWOqaVL9nudJvpLdpkkMayIN8MssRDKykFXOOQcEEDx2P8Aai1vSfhZJ4rvtMs9b1tLzTbK98J6Wn2a+0ma5u0t3ScXEq5wzbVIADPg/cJZfWvAfwu/4QmTxLdLq0k9/rzxyzSW9rDbx27pCIh5MYUgDCg4fec9Selcvr37O7+MtP1X/hJPF9/qurXVta21pqUdlbW7Wv2a6S6hkKIm2R/OjjZs4UhcKqAtlRdJSd9h6mrL8fdJtfEB0ybRNcSO2urXT9S1L7PG1rpt5chDDbTMshLOfNiBMQkRDIoZ1zS6X8erHXNP8RXumeF/EV9b6NqU2ks6wwQrdXEM8sMqxPLMihUMRJeQomGUBi2VFVvgO03iDULqXxLeHSNV1Kz1rUtHjtoVjmvrcRbZEfbvjRmt4XZMtlk4ZQzAyX3wGtp/Dtnplrrd1bPaeJrrxNHI8Mcsbyzy3EjQyxsMPGPtT46EMkbZyvM/ubaBqZ2o/tS+GofB9j4l0rSdb8R6fPZf2hcLpyW6SWEHmmEtOJ5ogNsqyIwUsVMbFsKM1s6f+0F4Z1Lx5F4WhjvDPJdvpn279ybdb9IzJJaHEhkLqqtl1QxblZPM3qVHinib9kvxBot5oqeFbqPU49FtJm0661JLAt9qkvprvdOktnL+7DSr/wAe5hYhTznaR7b4X+DY8J+LLvVbHVfLsbzUJdWuNPeyikYXUoPneXOwLrE7s0mzlgxOHCHZWko0UrphqO+K3jTxN4FutFvtN/su90y71Kz059NlglN5M00wR2jdWwNiEvgoeI2yQOR6XXlniP4N3+ufFqx8cw+K7m3eytVtLXS57SO4t7ZSxMzwhiNkkowrSYLbVABAyD6iueMnNcs+XlVhD6KKKwLPPfF37RHw/wDhzrkmjeIde+walGqyND9juJcKwyDlI2HT3rK/4bE+Ef8A0Nf/AJTrv/41Xcax8NfCfi27F5rnhvS9Wu1XYJry0SVwo7ZYE4ql/wAKJ+HP/QjeH/8AwXRf/E19Pho4n2UeSSt6M5ZXucn/AMNhfCQ9PFf/AJTrv/41Xmf7E+pW+seOvjBf2cvnWt1f288Mm0rujaW7ZTggEZB7ivef+FE/Dn/oRvD/AP4Lov8A4mt7w14L0HwbbSwaDo9jo0Mzb5I7G3WJXbGMkKBk10LD15VY1KklaN9l3EbtFFFeoB8w/tGMW+IEY/u2UYH/AH09eW16d+0Q274hEelpGP1avMaAPrX4H/8AJMNE+k3/AKOeu7rhPgf/AMkv0T6S/wDo567ugAooooA84+Nv/It2v/Xyv/oL1oaf8R/D1npttHLqKBkiUMFRmwQB6Cum1PSLPWYRDe28dzEDuCyKCAfWs7/hBdAzzpNr/wB+gf6V8LictzWlmVTG4CcLTSTUk9Leh6sK+HlQjSrJ6NvS3X1M/wD4Wv4Z/wCgg3/fiT/4mkX4oeHLqRYY78l5DtXMMgGT7la1P+EH0D/oEWn/AH5X/CgeDtEt2Ekel2qSIdwZYVBB9elVKnxDyt1J0rdbKW33k82C6Rlf1X+ReU7lzS0g4pa5DnCvIvGnjjxvaeJ/Fdv4cTQXsfD+mw372+pRTebdM6zMUEqPiMYiAB2NgtnB6V67Xl/jL4N3nizxBrl3D4x1TQdP1yzhsr+00yGASyJHvHyTSI7R7lkZSVAYdVZTzW9Jxi25EsI/jxpEeq+GLS603UoINfSBbbU2SNbUXEsfmJB8ziViRxvWMx7iFLhvlGL4X/aGu9Y+Gc/i2++H/iK2eO/ns102F7J5ZRE7gyKxuRGAPLIIZ1JYbVDZXL7z9mvTJvGia1b6zeW1ouo6dqaae0MUgjks4UhjjSVlLrCURSUzneWYN8xFTSfAFl061s7bxRd28Vjqt3qFjm0ilEC3Ik8xCjgpIymV2R3U7TjIYbg3T+5Fqa3jL4riP4P2Hjnwrt1DT9SSwure8ktJpUSzuZIgbp4lAk2pFIZCMAgKc4wcYNn8cr+PxJ4R0Y6P/wAJdZa1YXGoSeKPDkluunRxpMibgJLneVRXBfbuOcbAxyF6vQfhvd+EvhP4Z8F6B4jutLl0DTrPTrfVPs0MrSpbxLGPMjdSpDhPm27Tz8rCuZ8M/s72/hG30FdP8SX73VnNqM2oXNzBCzaj9uuRc3QKoipFmQYXYoCrkYJ+alH2Vmh6krftKeHLXS9Z1HUdJ1zSLGw0OfxHaTXtrGBqunwjMktsFkJBGY/3cwif96h24ORf1j462GgrokuoeGvEVjZ6pJGhubq1iiFr5svlQmWN5RId7EZWNHeMMDKseRWBefs0xa1oN/pWteKb/VIT4bufC2nM1rBGbG0nVFkfKqDJMRFECxIXEYwgJYtrePfgTH448WTa0NdubBbmOwjubb7PFOMWlw08YiZwfKDlyr7eWAXBQgkpKjzWFqNX9ozQm8XzaKdG1pNPgj1KWTxFJHAlgF09xFeHBlEx8uZli4i+ZjlcqCw2/hv8YtI+Jk15b2VpeabfW0UV19kvngZ3tpSwinBhlkUKxRxtYiRdvzIuVz4v4I/Zv8Vaf478UzakbOHw/wCJrvXBrAjNq7S2l3cTyQC3dbVLhJR5kRYzTSoAHAT/AFez3L4eeA7nwPYtb3Gqx6oVijt4pI9PitW2ICAzlB88hz8x4XjhV5y6kaUV7r7ArmPonjbxFD8Zj4O1W60XUbebSLjVv+JbDJHPYhLiGOFJt0jAiVZJSpwuTbyYyAcenV5r8P8A4W6r4H8RanqB8UtqlvqVzLd3UM2nRLNM7E7N84+YhFIVR0CqAABXpVc1Tlv7pSCkalprVkM8nP7X3wmt2aJvFilkJUlNPunXj0IiwR7jil/4bE+En/Q1/wDlNu//AI1XWyfBH4e3crzzeCtBlmkYu8j6fESzE5JJ29c0n/Ch/hx/0I3h/wD8F0X/AMTX1cI4zlVpRt6M5NTwz9oX9pb4c+Ovg74j0LRPEX2vVLyOIQwfYbmPcVmjY/M0YUcKepr2j9nP/khvgr/sGRfyq3/won4df9CN4f8A/BdF/wDE12Onafa6TYwWllbx2lpCgjihhUKiKOgAHAFa0aNVVXVqyT0toLUuUjdKWkbpXpDPhrVv+Qref9dn/wDQjVzwj/yNei/9fsP/AKMWqerf8hW8/wCuz/8AoRq54P58WaIP+n6D/wBGLQB9sr0paQcAUtACGqGsD/iWXf8A1xb+Rq9TXQSKVblTwQa569P2tKVNdU0VF8skzyf4Z+LtI0DQJYr68WCVpmfaQScED0FdV/wtXwzyP7QJ/wC2En/xNaP/AAgegc/8Sq1/79ClHgTQB/zCbQ/9sV/wr4HA4DiHL8PDC0p0uWKsm1K/5nr1auCrTdSSld+a/wAjM/4W14Z/6CDf+A8v/wATWppmrW2uWqXllL50EmdrbSvf0IyKP+EF0D/oD2f/AH4X/CrFvZwWEfkW0KQwpwscagAfhXVUjm0bPHzg49OVNO/zZyyeHa/cpp+bRNS0UVgZnA/FbxXrvhv/AIRaz8PHT0v9a1ddO87UopJYol8iaUttR1JP7oDr3rl9L+PF3pmm+LLfXNEm1fxD4Y1X+zb238NoBHKrQJcRTKbh40jBikXKtITuG1S5Kg9n8SPAc/jiHQ3s9Zl0O/0fUF1G2uo4EnG8RSRFWR+CCsrfiBXF337N9pcQadcL4o1ObXoNQn1K71a/gtp21CWa3NuWlhEaxApFtEexVCbBkMC4bspuny2kLUm0f9oRNe8YQ2WneEtcvvDU+hR69D4it0heKWF0LqVhEvntn7gVYi5f+Hb81df8OfiVY/Emx1SW1s7zTLzS7w2F/p980Ly283lRyhS0MkkTAxyxMCjsPnwcMGA4qP8AZxtofCWn+G4fEup22nw+E28JXUkMcQmuIPKMayhtuI5FLFvlGCccY4PUfC34Xf8ACt18SSNqralda7qK6jM4tY7aOFltYLcJHGgwEC26kZyeeSTzVS9lb3dxanneh/tC623w11bxRe6fa6nrdmbVbnwfp8fkajpksswjeGczyqGK7hh8KrbCVyCK7HUPj5pOj6glvf6LrVrb25tYtY1Bkge30S4uFRooLspMTvPmxgmISIm9WZlQ7qx5v2c/7Y1LV9Y1/wAX6nrfiG60yPR7XUntreA21uk6zgmOKNUkdpY42ZiAPlwixgtm1rnwBbxBd3/23xRfHStauLK91/TYYI1TUri2SJAQxDGGOQQQiRF6qmAy5Ymn7EWpat/j9Y6lDrcmmeFPE+pw6TfXGmSTR2kMMM11BcSQyxpJNNGmAIy/mMViwwTf5uYxn+IP2nvDei6Lpl/a6TrWvTXlot7JY6aluJbOFpxbb5mlmjjH79hH8rtkqzDKKzDWvvgpDceHLTTbfVZIprPxDeeI4ZJ7dJommuLi4laOWI43xj7U4HIOURs8YPjvjP8AZf8AFMPiDRJvDs9rqg0PS44tO1DVEsi5vftVxO7XEclpIBFl4T/opt3bDZb5YtjhGjLrYNT2S4+Pvhqy8fDwtNHeRym9j0w6iRH9mW9kQOluRv8AN3MpXD+X5e5lTfvYKaXx2+IPjD4Y6dYazoFtpWsW0t/YafHoMyOt7qMtxdJEyQy7wiMEcuCykfIxbCgka1j8KTpfja+1y11REtNQvV1G5s5NPgkk88RqhEc5XcqHYpIILZztZc4qHxh8LtY8QfEOw8VWHi2XTDZWf2W30+TTobmKJixMkyFsFXdSqE56IMYyc5J04yT6WHrY9KXpS0i/dFLXIUFcD40+P3gT4Zawml+JNd/s+/kiE6wi0nm+QkgEmNGA5U8Hniu+rB1r4b+FfGN0tzrvh3TNYuY08tJb61SVguc4BYHjJNduDVT2q9m1fzInscH/AMNifCPt4sP/AILbz/41S/8ADYnwk/6Gw/8Agtu//jVdZ/wob4c/9CN4f/8ABdF/8TR/wof4df8AQjeH/wDwXRf/ABNfRcuN/mX3f8E5tTwX9kPWLTxF8Zvi7quny+fYX16bm3l2ld8b3EzKcMARkEHBANfWvpWF4Z8D+H/Bccy6FolhoyzEGVbG3SHeR0ztAzW9W+FoyoU1CTuwQtfLn7RH/JRm/wCvSL/2avqOvlz9oj/korH/AKdIv612DPMq+rvgP/yS/Sf96b/0a9fKNfV/wH/5JjpX+/N/6NegD0GiiigAooooAKKKKACiiigAooooAKKKKACiiigAooooAKKKKACiiigAooooAKRulLRQBzF1/wAfU3+8ajqxqC7byX65qt616sPhR8FiNKsl5sWiiirOcKKKKACiiigAooooAKKKKACiiigApN1eYftB6xomj+CrL+3NR8RWcF1qltaw2nhaVor3UZXbC2oZcMFfndhkOB94d/KfgTJe+Cf2k9d8DWOneItA8K3PhePWodG8RaiL57edbswl4XE8u1HDMWBbJYdgFoK5T6l3UtfB/gbR9Uk/ZT8J/F658WeIrvxvaXdv9nu5dTlMSW/9oC2e3MOdjoybiSyliT1wMV7f408Mx/GP9oC68I6/f6gvhnRvDdrqkem6dfT2fn3M9xMnmyPE6ltggG0ZA+ds54wByno3wt+KCfEy48aRJp7WH/CN+IbnQGLS+Z57QpE5lHA2g+bjbzjHXmu7r50/Yx0mXQ7H4uafPqNzq8tr8QNQia+vCDNORb2o3uQACx7nFfRdAMKKKKCQooooAKKKKACiiigAooooAKKKKAFX7wrpo/uj6VzK/eX610y/dH0rixHQ+lyjaRJRRRXIfQBRRRQAUUUUAFJS0UAZ8n32+tJUzW5ZyeOTR9mf1FfH1MHWlNtR6nQpIirzP4wa/r1hrHgDRdA1VdGl8Qa3LYXF59mSdkiTT7u5+VX4yWt0GfQmvUfsz+orlPHHw2tPHLaLLc3d9YXmj3jX1ld6fKI5IpTDLCTyrAgxzSLgg/e9qdPCVoyvKGgcyPMrH473vgvQfEi+ODpcl74d146HPqUN7b6bbXQa2huoZcXMyqjGK5jVkDsd6uR8uKn8K/tBXXizxJcyWvh6VfCR8I6X4ot9QnnghkjW6F4xEpeYADFuijjCsJCzbSprqYfgDoFjbWi6fcahpd7DeXGoSalazj7TdXEybJZZnZTvZlCjJHARQMBQBRk/Zp8Lf2VbabHJqUGnQ6FZ+HWtY7n5JrW1Mhtt+VJLRtK7AjGSeQRxXT9V/uO5PMWfhV8atG+MGn+IJvD4jnn0e4FrII723uYZJGiWRSs0EkiEHcAcHIIORXj037QHjDwb4F1LUb9rjVPGsV9pEN74V1XTY7MaeLq9it3a3cMgmgPmFUffIQ+CzYyo9/8ACvwvsPCTa5JbXl/c3ususl5eXM+6VmVPLUrgALhAANoHTPXJrA1L9nvQ9fsdRg1zU9a1uW8ihhW6vL397bCGdbiIxFFUBlljjfJBJKKDkcVMcLLmd4aD5kVLr46W9nqdzC3h/VJLCw1O10fUdRjaBorO7nEO2MjzNzBTcQqzICAWPJwcRw/Hyxfwv4k8Rz6Rcabomi6nPpTXuqXtpaRTyw3T20jK8kyqqh4+C5XduUDJ4rVm+Aui3GrPfS3+qNHPe2+pXlj9qAt7y7gWIRzyqFyWHkREgEKSgJB5zNefAvQLrR7OwQ3lr9j1u48Q2tzDP+9hvZ2nMrqSCMH7TMMEEAPxyAaPqb/lYcy7nni/theHLvwFZeLNN0TUtTsJ9MOpyRxTWsbxqLlrXy13zBZHMyFAI2YMSuCdy51tG/ao8H638Sl8ExSqmrtqkujiI31q032mKNnkBtxKZgilHXeU2krwcEE8r4g/ZV1PRfEGmS+B10yGzs7OSCy1DU71/tmkXEtxcTSXMatbzCc5uX+UvCcAqXw2R7D4f+Etp4X1671PT9T1K2S8u3v7nTknX7JJcSD944QqSu9suQrAbiTjJOalg9NIsXN5nFfG3xn4j8FeI/Dk+k6xcRQ3Go2No+m/2R5llJHLPsme4uj/AKshPubWTDBQQ+8Aez1yXir4V23jDUFk1DVdU+xCWGd9LjuAtrI8Tq6Fl27uGRTgMAcfWuyW1YcDArmng6zjFKOo+ZXI6Kl+zP7UfZn9qx+pYj+UrmQ+16GrFQwxmNTmpc19VhYSp0Yxluc73FooorrEFFFFAHy1+0I274jTD0toh+hrzSva/jD8OfEnibxxcXum6XJc2hijRZA6jJC89T61w7fBzxjHjOiTH/ddD/WgD6C+B/8AyS/RPpN/6Oeu7rjvhNpF5oPw/wBKsL+Bre7hEgkjbGRmVyOnsRXY0AFFFFABRRRQAh70yb/VtT26U2T5lIrGonKDS7DW5SoqT7O3qKPs7eor5D6nX/kZvzIjrxbxxrvjh/FfjM+HPEFnp8Hh3S7a+h02/wBPE8F07CZ3WRwVkUERhQVPynnDdD7d9nf2rgvE3wZ0/wAUa1qOoz6rq9mNSt47W+tbG78qG5iTfhWwu4cOwyrA4Na0sJWi25QDmRyd5+0poOj6/wCCdH1G3+zXvipLVrSP7da+apnRihMDSicoGQoXEZAJ9jjP8P8A7RtxbfC1fF3i7RbfQwdUuNPUXGqWVnE4jllRSHnuAuf3YUjdktkgbea664/Z78NTeJDrCm8ty2oWmqvZQT7Ldrq2hjhhkK4z8scUa7c7cKOM80i/s+6LClqtrqOr2f2PULnUbQw3nNs84YTImVPyNvY4OSCeCK6vqv8AcYr+ZV8UfEDUvE3wR07xh4Gjun/ti1sNQt5I7UTXMVlO0TSSxwk4aVYHdlQ5G4Dhuh5jwz8atWk1zwnploG8aaLfWWoXF14hito7KVDb3SRFZIGlUq8SsVlAQFnXKovKL6dpvwwtNB+H2i+D9I1DUdI07RrO3sLK4tJx9oSGGNY0BZlIb5VAOQc/WsTS/gD4f0g6TNY3Go2lxZzXlxLOtx89813MJrrz8r83mSAE4CkdBgcVEcLJKzi9wv5nO3n7S2m6N4dudY1jw/q2kw/8I9deJbOGY27yXtpbqjS7Akp2viWMhXK/f68HFvxX+0LpfgW80C08R6c2i3esGFYrO71SxW5DSTCJVEPn75CCVJ8sNgH1BFXV/Zv8OTaLfaVqF3qmrWVxpE+hRLfXW9rOymVVlihYKCMhIxubLfIvPXOn4o+CGj+LPEtxrdzd6jbXF1HZxXcNrc7YrhbWZ5YAwKk/K8jfdIyDzmn9U11g7BfzOT/4ac0FfFF/pf8AZl79jsYtXnudTM1uIoU02RYrovH5vmL+8dVXKfMCGHy81q/CP9oLw38ZtR1Kx0SSGWextoLuRre/tbyMpKXCjfbyyBXBjOUbBGR61xvhH9nPxVo/jPVheXejw+E9U1DVrrVfs0ry3GsQXktzLHA8ZhX7P5T3O7cJpdxQ4Cbzj2fwn4IPhO1ktk1fUdSi2qkf9oSq5iVQQApVF/HOegp1MG0rRjqCl5nmPhPx5rtv+0BeeDtT16bU7G40m4v1hvtH+wpFNHPEipZS8faE8uRzICXZCIzuAk2j2yuLsPg/p1v40tfFV7qGpazq1jDcQWDajMrpZJOUMoiCouCfLQZOTgY7nPcfZ39RXPUwlaTXLDoPmRHTT92pvs7+opPs7+1YLB17/Ax8yLMf3B9KfTVG1RT6+yppqCTOYKKKK0AKZJxGx9qfUU2fKfAydpwKAPh3VP8AkJXf/XZ//QjV7wf/AMjZon/X9B/6MWt/UPhP4ukvp3XQrllaRmBG3oT9aueF/hd4rs/E2kXE+iXMcMV5DI7sBhVDgk9fSgD6uopF6UtABRRRQAUUUUAIelUJP9Y31NXz0qq9uWbIx1ryMwpzqwioK+ppB2ZFRUn2dvUUv2d/UV4P1Ov/ACM05keZ/GDWdcsX8HaboWqDRp9a1tbCa8+zpOyR/Zp5TtVwRktEvPpmuMtP2hH8G6X4vtvF9xY3uoeFNYi0m61JZ7bSoLkS2qXMT4uZwofa4UqH5YEqADhfWPG3w7tvHUOlrc3l5YT6beC+tbnT5RHJHKI3jzkqQRtkcYI71zM37PegMLCZbvVk1SzvbjUBq321nupZp4vJlLswIwY9qgAAKFULtArqhhZ2SlFi5vMwPDfx4vfFviSzfS/Ds0/hO98MxeIbbUzNAjOsil1B3TDAPCcjhsnO35q6T4P/ABk0f4zWOu3Wi7THo+of2bNJDd293E8nkQz7o5YJJEYbZ1B+bIZWBHFQTfs6+G5vD9poYm1GDSoPD0nheS3husC4sWiMeyQkElgGJDAg559q6PwV8NbTwLJrclteXl/d6zeLfXtzfSh5JJFgigXGFAAEcMYwB2z3NXLCyt7sHcXN5nhXh/43eL9A8J+JJfEFw2p/EGzFncXPg+4sI7QWKy3RiZraTev2i2wQqyF2O5CWI3bF9C1r4+QeH/7Wlu/DOrCw0OazttavY2t2j0+WdYn2sPN3P5aTxM5QMACcE4q5N+zpoN9ealf6lqGr6tq15Yppg1K8uVa4t7dZhNsiYIAuZFRiSCWMaZzgVZvvgBoup30093f6rPBevazalZNdAQajNbiMRyzqF5YiGIMFKqwQAgjILeFct4Dv5mXJ8fLWHRNc1qbQ7qx0XSdTudKk1LUr2zs7eWWC5e3kZXlnUBd6EAtjOQOvFYN9+1hosOk6NfWPh7VtXTUtP/tFBaS2u0R/a0tFCO0wWYmSRf8AVFwAyE43pu7+8+DGj3Gl2VjBPfWP2PWbrXoLi3mAkjuriSd5iCykFSbqYbSOAwx0FeVeNv2Ydeh16yu/BV5YxPDpiWNtqmqXbLdaXcia5k+2qn2eVbl/9LkwmYMfON5Ep2EMHfeLFzHTal+1F4P034nx+B5Z4v7UOqQ6Q4F/a+alxIisn+jGXzyhLou8RkAtnoCRR/aK+Imv/C+88PaxY65Ja2Eup6fZSWEul7rBo5rtI7iS8vSD5CrE5KMCgDKN3mbgo9KsfhlBpfia71m11PUbb7ZcC6ubGOVfs0svlhC5UqSMhVyAwGVB9aq/EL4P2XxMje01nVNW/sadUjutItbvyba6RX37ZNq78N91gGG5eDwTU/VJKaai7dR8ysdotFSi1cDqKX7M/tXJ9TrfysrmRFU1r/FSfZn9qkhjKZz3ruwWHq06ylKNkRJponooor6YxCiiigAr5c/aI/5KM3/XpF/7NX1HXz58bPh/4h8R+NmvdN0ua7tvs0aeZHjGRnI60AeJV9X/AAH/AOSY6V/vzf8Ao16+f/8AhUfjD/oA3X5D/Gvov4O6PeaD4A0+y1C3a1uo3lLRP1GZGI/Q0AdtRRRQAUUUUAFFFFABRRRQAUUUUAFFFFABRRRQAUUUUAFFFFABRRRQAUUUUAFFFFAHO6l/x/Se+P5VWq5q/wDx+f8AARVOvUp/Aj4bFq1ea8wooorQ4wooooAKKKKACiiigAooooAKKK898UftA/DfwTr1zouveNNH0nVrXb51ndXSpJHuUOuQemVZT9CKANX4j/DXSfifo9tp+rNdQfZLqO+tLuxnMM9tcRnKSow6EZPXIPcGsDwT8B9C8D+OJPF0WoazqviKbSxpM99q181w8sXmiTJyMBsqOmBgdOTXfaNrNj4i0mz1PTLqO90+8iWe3uYW3JLGwyrKe4IqPxBr1l4X0HUtZ1KUwafp9tJd3MoQsUijUu7YAJOACcAZpFnE6X8BfC+j/B+z+G0C3h8OWpUx758zZW4+0Al8f89OenTin+PPglo/jrxBaa+NT1rw9rlvb/YjqGhXptpZrfdu8mTghlzk9MjJwRk12PhrxFYeLvDula7pUxudL1S1ivbSYoyeZDIgdG2sARlWBwQDWpTFqcR8LvhHoHwf0/WLHw5HcRWuqai+qTrcTGU+c8caMQx5wREvUk5ye9dvRRQSFFFFABRRRQAUUUUAFFFFABRRRQAUUUUAPh5lT/eH866WP/Viuat/9dH/ALw/nXTL92uHEbo+nyle5JjqKKK5T3gooooAKKKKACiiigApNopaKACiiigAooooAKKKKACiiigAooooAKKKKAE2iloooAKKKKACiiigAooooATaKWiigAooooAKKKKACiiigAooooAKKKKACiiigAooooAKKKKAEwKMCo2kWPhmA+ppVkDYwaNSeZXtcd1o6VHNcR28ZeV1RB1ZjgUi3EciK6OrIejAgg/jRZhzLa5N+FJuqP7RH/fH50ecucBgT6Zo5WHNHuS5FGRUbSKmNxAzwMmnM4XliAKB3Q+imqdwBp1AwooooAKKKKACk2ilooAKKKSgBGoHtWTr/ijSfC8MMurX8NhHM/lxtO+0M3XA/Ktbduos9+hPMr2HUUUUFBSUtZuta5ZeHdPlv9RuY7OzjxvmlOFXJAH6mhJt2Qm0ldmj2oxVWwvoNQs4bq3lSa2mQSRyxnKupGQQfTFWs0rW3AWiiimMKKSloAKKKKACiiigAooooAKKKKAE59aWiigAooooAKKKKACiiigBNoo2ilooAKKKKACiiigAooooAKKKKACiiigAooooAKKKKACiiigAooooAKKKKACiiigApu2nUUAYutLtmjPqCKzq1daX5I29DWVXo0fgR8ZmMeWvIKKKK3PNCiiigAooooAKKKKACiiigAr5PsfFni/w7+0J8aYvDXwsk8f28mp6a0t0mrWdmLdv7Mtxs2zkFsjnI4r6wrxS4+GfxH8N/Erxr4i8Ha94XhsfE9xa3UttrmmXM8sLQ2sdvhWinjGD5e7kd6Bo1te+IGr6P8Zvh14Uht7e00zW9M1C6vLdlDPHJAINiqwOAAZGBwOcVw/jv4iav4iuP2mPCV2YDpPhzwtBJYhI8SA3On3Ly7mzzyi49K7D4hfC3xX4ql8E+JdM1rSNO8eeG/MLTTWUr6fdCaMJNGYxKJFjJAYDeTlRkmuf8P8A7O3iC0b4vXuueKoNY1j4gaTDYyTpaeTFaSJbzxYRNxPlgTKFBJbCckk0FGD8KfiRrHgfS/2dNGuxC3g7xR4OtbBZjHta31KOziliDSHjEkYdFTqWGe1UfGX7SnizTPhj4+8eaVDZvo2n+KrfRtDjmiJFzbxzxQXEvmBvmWSQyhWH3dpHJFXv2g/Acfg79kDRfDEmreRr+gW+kWGjalbDZKdRiaGGJ4snKbjuBI5CM57Gun8Yfs3r4h/Zx0b4XadqMenCxFjuvXh3b2hlSWVyoIyzsGY+7ZoAn0vxH458H/Gzw34V8R69Y+ItN8SaZfXi+Tp4tWsZrYw5RCGO+NhMMb8sCvXtXJ2fx68Yn4nf8Kikgh/4ThdWMp1f7J/op0UL5v2gqrECUriEKTjec8cKfXvEfw7l1z4seDvGCXiRRaDZahaPalDulNz5GCD22+ScjvurzuT9ma6aztdfXVrZPibDr519vEAgYoSx2PahSSwgMGIgueNqsckZoDQ9+XO0ZOT60tIudozjOOcUtBAUUUUAFFFFABRRRQAUUUUAFFFFAD7Xm6j/AN4fzrpv4a53T+byP6/0ro+orz6/xI+qypfupPzFooornPbCiiigAooooAKKKKACiiigAooooAKKKKACiiigAooooAKKKKACiiigAooooAKKKKACiiigAooooAKKKKACiiigAooooAKKKKACiiigAooooAKKKKACiiigAooooA+bfi94dsvFn7RnhjSNSRpbG501RJGrFScNcMMEdOQKq/Ejwl/wz/eaT4k8K3lzb6dJeLBd6a87Msvyk9+uQjcnJBxirvxg1hvCv7QHhvXprG8vLGz05fM+xw72yWnXAyQM/MO/eqfjrX9S/aC1LRfD+j6BqNho0V0tzd3t/D5ZXAYZGMgYUtjk5JAxxX0dPn5abfwW17bv8T5mpyc1RL4+bTv0/Ah+OV3b/wDC3PD7+K1upPBxtt2xd2zeVbJGCOQ2wnvgV3/hX4U/D3xN4Zu7fRppL7Q7ueOZ4IrpiI5UDD13KSH5B9BT/HvxM8M6PqF34b8W6JdNpqxKY7qS2863n+UEAY5Vs8DjqucjiuV/Zk0K7tde8U6nbWV3pvhy6cLZQ3WVYgOxXjuQpAzk9axk3LDc13HlSt2ev5msLRxPK7S5t+60/I4+0+E/hyb9oS78KNayHRo7fzFhEzbt3lK33s56k10XxH8KWnws+Inw81HS4pIdNjk+xkBixX95nDMfUSnj0U1qadZ3C/tYX85gk8g2n+t2Hb/qEHXpXV/tHeGpPEXwwu2gjkkurGWO8iWM85UkN06/KzfjitHXcq9OMno4pP5qxnGh+4qTiveUm18meVftO3V1rXjWO3tGymg6ct9L8xON8yr09RuQ/Suk+OWuSeNPAPgnTLGWOS48RXELJ5hK5yoGTgcDc4zx3pnwj0u9+Ilr4+1rVrWS1n1iFbERbCo2CEoNuR1xiub+CNtq/iTxp4YsdUs7mG28L2twVaWPA8xnYAEkdACoH+5W7jGMbO16W/zX+ZgpTlK+tqn6P/I+odPsYtL023s4F2QW8axRr6KowB+QryK5+POqXGm6rrOh+E21Xw7p0jI99JfCFpAuMsqbCdozn6dh0r2WT5Y2Y8cd6+L/AA/rMEei6rpt/ceJLPTbq9lN5ZaJbRy2gXd91ZC2QMDBwSCB3zXl4OjCspykr2t3/Tqepja86PJCDte57vJ8eH0/wFY69qXh6e2vdTl8vTdLjnErXQKgq27aNoOcdCenBzVnR/i3qlt4s0zQ/FXhv+wZdUDGzuI7tZkdhg7GwBg8j8SOOa8++L1naa54K8Da34VjutS8P6XMqH7CWWWONdoGONysNhGexxV7w2vgDxX4s0BrPVfEuvalb3G+H7ZJPIlowG872kAAGUAOCcnFdHsKPs+blet776W29Pmc31iv7RR5trdtb79Nfkdf4o+NF7B4tuvDnhfw5N4i1GzXddv5wijh6YHQ56+341rfDP4qD4gTalYXelzaJrenOFubGZ9+ASQCGwPQ9vzrzHRfEUfwX+LvjBvENtcwaTrEn2iDUVhZ0B3MwGFB4O9l45yo45yL3w00CX4leOPHHii6s73S9I1W2/s6BXzG7oVVS49GwinIzgseTSqUKUabdrKyad927afmXTxFWVRK922012SPbvEWsf2DoGo6kI/P+x28lx5W7bv2KWxnBxnHXFeZeA/jhqfxA1LT1sPCdwulv8l7qDT5S3kwTtX5RuA4546+2TYl+D+leBPCvim40qfULie40u4iKXFwZAf3bYwPXNP/AGcrOSD4QafFJE0MhkuPlddp5kbBrmjCjGjKe7ukntv5HRKdeVVR+FWbtve3mUp/jlqurHVbrwv4X/tnRdMZhNfyXgh83aCW2KVJ4xnPP0rQ1L4+aLZ/DSDxbDDNdfaH8iGxUhZPP5/dseQAMcnnjBAOQK8V8D22jeD4dT8P+NtS8ReHr2O4ZFjsppxb3KkYO0Ip3Z9cYIIrT8f+A7I/CXR9R8JadqZ0+31GW5kt71D5+CRGZCvUL+6XHswJHXHdLDYdVIwadrrXo1bucMcViHCU09bbdU/Qp/HDx9rfirQNEg1zwtceH3+2C4gkaTzI5F2kEZwNrDI4789MV71qfxKbS/ibo/g8af5gv7Vrj7Z52NmA/Gzbz9z1HWvDPjN8RoviloGhR6LpOoSQ21ws1zctAwjRypXygcfMc7snpwOueOt+LerSeB/jV4W8T3lncS6RFZmCS4ij3BWLOD+I3qcd88Vc6UJwpwcbO0tL9ehnGtOnOU07q8bvy6npTfEjHxU/4Q7+z+PsP237b53vjbs2/rmuEs/2itV1+PUIdD8F3Go3tlO8cqrc/u0jXo5bb1JB+X261l+C/EU/jL9oJ9aTS76wsW0pooGvIShkUEfN6DJz+VWf2abG4tZvHYngkiL3alfMQrnmXpn61g8PRowcpq7Si7X6t6nR9YrVppQlZNvp0S0Oy8OfG7Stb+Gt34unhmtIrItHc2qneyyDGEU8ZzuXB46815P8T/i1rXjX4X6gL3wfc6VpV+YTbX4m81DiVWww2jAIU4PrjjnNUfC3hLUtZ/Z98WWkFrOLuPVzcpDsIaQKkWcDvxn8qf4i+JI8UfBC28KWGi6hLqlrbQQXm2E+XbLCU+YtjkttXAxxk56DPTSw9KFTmgr2l32WhzVsRVqU+WTtp23ex6tpHi/WfDvw88EwaL4ZuNfuZ9LtyWWUQxQgRIMsxB55HHpnmrPgH4vXfiLxdf8AhbW9E/sTWrWIS7VnEscg4JIOBjhlI65z1rznxdr+q6DoHw2sbnUdU0PwxJptv9vvNPRllRhGowWUbh2yBzyeD0pnwstxN8erm8sv7WutLl09/s99q3mNJOo2ru3PyV3BgM9hXN9XhKnOUktm09e/3G6xFSNSEYt20TWnb7zrm/aC1G/uta0/RfCN1qup6bdywyRxTZjWJDtEjNt4LENhBn7p5qtq3xsvPF3wZ1PWtF0mdL4NJaXUcNzhrEeWx88Pt+YD5eMA8+3Lf2frOe18b/E154JIkk1BSjOhAb97P0z16j865f4N6PfTfBPx/ZrZzC6uPOWKJkKs5MI4Gar2VCMnaPwuPXe+4e0rySvL4k+m1tju/wBnLxhr3iLwnbW+qadcyW0MbtFrM9z5n2o+a4K4xkbfu8k/dr2Qdq8U/Zl8VWt14LtvDfk3UWo6Z5rXAkhKoN8rOuG9cOOPY/j7XXmYxcuImlG2rPUwetCLbvoOooorkO4KKKKACiiigAooooAKKKKACiiigAooooAKKKKACiiigAooooAKKKKACiiigAooooAKKKKACiiigAooooAKKKKACiiigAooooAKKKKACiiigDP1hc2ZP90g1iV0N7H5trIvfFc9XbQejR8tmkbVYy7oKKKK6zwwooooAKKKKACiiigAorxKT40eL/FniXxRB8PfCOn+ItG8LXj6bf3Goao1lLe3iIGlt7UGJlBQsoLSFVJPBx81WNe+MXiXXPiBqXgn4f8Ah2w1HW9Ftbe61u81+8e1tLJp1LQwAxxyNJIyBmyo2qB1JJAB2PZaK8Gu/wBp57H4O6p4xn8JXkWuaPrMOial4ZW4SW4huGuY4SiOvyuSJVdOgbI5AOa0/Cvxm8TxfEjQ/Cnjjwpa+GZPEllLeaO9nfteFZIkDy2s58tVEqqS2VJTC4DHjIFj2aivm7Uv2mPGN7Y+P9T8M+ALfUNK8Cane2erT3mqeS1wtudzrbKEOZPLIc7sAAgAsTiu18WfHQQ6R4ITwvp8N/4h8aW7XelWmrXBtYIoEiWWSWeVVfAQSRjauWJcY4BIB2PXCAeoorxLS/2ik0bw/wCOz4x0+10/XvBlvFdX1vpNy1zb3UUyFoXgkZFJ3srptYbgynqCCdPwt4w+KmqQzS6v4F0TToLzT2vLExa6zm3lwhS3uv3HDEMfniDqNhHcUBY9ao6+9fMngnxx4q8Ufss+I9c8f6PpusaMugajcStDqkoub4RiTdFIqwIIgVUqGV2PA4ras/jZPY6D8MfB/wAPvCsN94j17w5b6rb6deXzJaaRpwhQCS4m2s7AMyxrhSWIbJBwGBWPoGivFtH+PWpwaD8QofE/hyPSfF/guza9utPt7sy217AY2eKeGUoD5bmNxhl3LtIIzkVi2/7RniyxvPA+q+IfAS6J4O8X6hb6VZzNqIk1G2mnJFu88ATaqyfL8quWQEluRigLH0HRXjMnxh8T698VNd8L+FdC0a9s/Dk0EWpHUtWa3vZxJGrlreERMNqBvvOQGPAPBr2Vc7ckYPpQIWiiigAoZcKDnINFOT5sqejdPr2qX3NIJSfKxtFItLVGYUUUUAWdN+a8T25roP4awtLH+mfRTW7/AA159b4j67LFah8xaWkpa5z1wooooAKKKKACiiigAooooAKKKKACiiigAooooAKKKKACiiigAooooAKKKKACiiigAooooAKKKKACiiigAooooAKKKKACiiigAooooAKKKKACiiigAooooAKKKKAI2jVuSoP1GaVVCjAGKfRQKyK81rFcLtljWQA5AcZFSLGFXA4A7AU40oNF2Fle4wRru3ADPrjmnFQRjGRTqKBkUcYUYUBR6AULGqMdqgE9cCpNoo2ii7FZFDVtOi1jTLqxmLCK5iaF9hwwVlIOD2ODXjOl/A/xX4d0m60LR/F8VvoU7HcklipmCtw+G7Ej/wCtivdfwqCaeO3jeSVlSNAWZmOAAO5NbU606acY7PyOetQhValPoc94B8D2fgHwvaaLZu00cO4tLIBukZiSxOPc/kBXQQ2cNuSY4ljLddq4zXD2/wAcvA9xqAsY/EVuZmk8ofK4TdnH3iu3HvnFd8GzSqKqneomm+46XspR5abTS7EU1tHcKFkjWVeuGUEVIsYUYAAHoKWisvI303A9OelCxqowoAX0qJbqKSYxLIhkXlkDDI+oqbdRqGhDNZw3DK0kSSMpyCyg4qXaNuMcU+mU+YVkRR2sUS7EjVEznaqgD606a3jnj2yIrqezDIp9L/FS5pByrYZ5a9QADjA47UoRVyQAM9cCn7RS0XY7IjWMKMKAo9hUa2sUe/bEi7jltqgbvrU+0UbRTuw5UQyW8cybJEWRP7rAEflTlhVcbVAwMDjt6VJtFLSuw5URqiqTgAdzxQsarnaAo61JSbRQBDHbxwszJGqsxyxAxmp6KKBhRRRQAUUUUAFFFFABRRRQAUUUUAFFFFABRRRQAUUUUAFFFFABRRRQAUUUUAFFFFABRRRQAUUUUAFFFFABRRRQAUUUUAFFFFABRRRQAUUUUAFFFFAEbjcpFc3NH5Mrp/dOK6ZvWsLVofLut3ZhXRQdpWPFzSnzUlNdCnRRRXoHygUUUUAFFFFABSNS0UAfO/hLwx8Rvgx4o8c6foHhKz8V6P4o8Q3Wv2eqPqqWos3nRN0dxGyliqsnBjDEjkgHirFx4Z8f/DD4veMvGOgeGIPG2neLoNP+0WFvqEdnPY3FtE0ZIMvyvGwOeuQcDHU17/tpaB3Pm7UPgj4uvfhfrovIbOfxf4i8X2HiG+tbOf8A0e3jivLY7Edwu7ZBbjJwNzA4HNd78RPA2seIPjZ8JvEVlbLJpXh+TVW1CYyKpjE9r5ceATlst6dK9UooC58/eB/hD4l0n4d/HbSbu1hhvfF2v63faUvnKQ8NxbpHCzEZ25ZDweQOtYfiz4Fa1deFvg7qcnhXTfF2oeDNJksNQ8M6jJEEufNghRikj7k3o8IIzwcnkcZ+naKB3Pni4+Cr+Ovg/wCM9Hsvh3o/wp1rWIIhAtq9vI7zQv5kLTNCm0qrgcZbhm9a7r4deI/iJr1wtj4p8E23hmyt7Ty5rwatHdNcTjaAYkReEPznLkH7vHJx6bRQK582eE/A/j+3+APjj4Zal4VhtpY9G1Ox0zVYtSjePUXmEwiATho+HXJfGD7c1FZ/Cfxx8NdY+HPjfQtIt/Emq6P4Jt/COr+HzdpbyEJ5cnmQTN8hIkQghsAr05r6YpNtAXPnpvhj4y8XaV8WfEms6Zb6T4g8W6Euj6foUV0s3kRxRTCPzZRhTIzzvnb8oG3nqa1vit8MfEHifwT8JdO061Se78P+J9D1LUFMqqI4LZv3zAk/Nj0HJ7V7ftpaAufM/wAePhx4x+JGvPBo3gGx0rxHHNH/AGX8R7XVI45rGJJdy70CrK/yl8xfMhLfiPpaMFVAJyQOuc0u2gDFAXFooooEFGTwR1oooGh0qhXOOjfMPxptOY7lQ9+Qf5/1ptTHY0qfFddQoooqjIv6Kv75z/s1tisjRV/1jfQVrr0rza3xM+0y+PLh4i0UUVieiFFFFABRRRQAUUUUAFFFFABRRRQAUUUUAFFFFABRRRQAUUUUAFFFFABRRRQAUUUUAFFFFABRRRQAUUUlAC0UUlAC0UUUAFFFFABRRRQAUUUUAFFFFABRRRQAUUUUAFFFFABRRRQAUUUUAFFFFADfu/SuX+JWj3ev+A9d02w/4+7m0kjjXIG5iOn49Pxrp+e/SsLxrda1Y+G7yfw/aQ32rx7DDbTttSQb13DORg7d2OeuKundTi1vfqZVEnCSe1j5z+HPiXwfodjbeFPHPhSLStVt2wt9cWg/e/OSGZ8b1OeMgkfL1HSvS7H4ha1pfxwuPC+qXEMuj31t5+mlUVW6ZAyOT91x+Ga4PxyfGHxyXTdGbwRcaEYJvMm1C+BVUGMHaWUcHOcDJOBXQftEaBL4b8NeGvEWnShNR0CaOJJnbBdCAMEd+VHHoW9a9+caVapFS0lK+l7pPo12ufOwlVpU5Sj8MWtbWbXVPvYs23xY1+41j4halbiO60Dw/G0VtbmHb5k4IBO8ckDa2fZhTfhX4s8aeNjY6i/iPRL6ylWQ3Wnxx7Z7f5GCds/f25zxjPWtD4QaDe+E/gkl3a6f/aWq30bX7WrsAZy/QEk45TFef+HfBmq+I/itouuaN4NvPA9vZzLJftKzRxyDPIRSFHzAFSFGPm5rLlov2kEkraJ6dF+r6o25q8eSbbfN09X+iKfgSx+IEnxf8TpYalpMesRsp1GWZGaGRdw4QBM5/L613Hir4sa7qnxIvfDGhatpfh+10+ItPfakAfMkGAVG7jqw4HoTntVSW38UfD/4065qVl4Yutdsdc8tI54chI87cl2AIUA5zuxwM1l+MPAWp+EvihqviKXwf/wm2i6kCVt0jEjQyNgk7cMQRtIzjGG654rWUqVWpzSS+FW230/rUwj7WnBqN/id99un9I6Pwt8YNYv/AAT42W7ltZtf8OxuReWuHgmGG2OOx5U9umK5W7+LHxNuvh/B4ytxp1po0ASKXcoeWdg4jaTbjAUvxgEEe/Wux07SZdW+Fvi5rLwKvhS6vbV4YbOONRNcYU4LAKDnJOAR396yI/CGuH9lX+xf7Kuv7XwW+w+WRNj7Z5n3Tznbzis4yoRd+VayS17W1NZKvJK0npFvTvfQzfEHxY+JOk6Dp3jSSDTbfw/dSIE09fnk2EZBY443Y7HI9BX0Xpt7HqVha3cOTDcRLKmfRgCP0NeF/EHwlrV3+zroGkwaZdTanAlr5lpDEXlTCndlRzxXtPhW2ls/Dek286eXLDaxRurdQwQAj8648V7KUE4JJptaduh3YT2sZtTbaaT179TYooorzT1QooooAKKKKACiiigAooooAKKKKACiiigAooooAKKKKACiiigAooooAKKKKACiiigAooooAKKKKACiiigAooooAKKKKACiiigAooooAKKKKACiiigAooooAKKKKACiiigAooooATtWfq0IkgyTyvIq+fu1la1IV8tQec7q0pp8ysceMlGNGTlsZdFP2pJyrKjd1bgfhTWCqwCnPqfWvSUrnxcqbjrfQSiiiqMgooooAKKKKACiiigAooooAKKKKACiiigAooooAKKKKACiiigAooooAKKKKAHcGNvYim05PuuMZ4z+optQt2ay+GLCiiirMjZ0dcWpP95j/hWivaqemrttIx6jP51c9K8qbvJs+8w0eWjBeQtFFFQdIUUUUAFFFFABRRRQAUUUUAFFFFABRRRQAnSijIqpf6ja6bayXF3cRWsEYy8szhEUepJ4FFm9ES5KKuy1zSH3NeWeIv2kfBGgeYiai+pzLn5LGMvkjtuOF/HOK87179sJv3sejeH+37ue/n/nGo/9nr0qOW4ut8EH+X5nn1cxw1HSU0fTG6jdXxXqn7T3jrUJC0N3a6chGPLtrZSPrl9x/WuUvviz4y1CNo5/EmoMjHJUTFf5Yr1KfD+Kl8TSPMqZ7h4/Cmz79adF+8wFVrjVrKzjLz3cMK/3pJAo/U1+d954j1bUo9l3ql7dJ/dmuHcfqazq7Y8Nz+1U/A45cQfy0/xP0Gk+JvhGFiknijR42HVWvogf/QqrTfFzwZCCW8UaVx/du0b+Rr4Co/nXQuG6fWo/uMXn9TpBH3VcfH/wDa53+I7dsf8APOOR/wD0FTVf/hoz4ef9DCv/AICz/wDxFfDtFaf6uUf53+BP9vVv5Efcsf7RHw/kbC+Io8/7VvMo/VK0rX40eCLpQU8TacuRn95ME/8AQsV8EUUv9XKPSo/wF/b9XrBH6Br8U/BrLkeKdF/G/iH/ALNWlp/i7RdWUGx1exvAen2e4R8/ka/OqisXw3HpU/A1jxBU6wX3n6ULdRN0kU/jTtw7V+btnf3OnyCS1uJrZx/FC5Q/mDW1Y/EXxTp0nmW/iLUo3xjJunb9Ca55cN1F8NRP5G8eIIfah+J+hWRSfjXwxpn7QHjzS1Kprsk4JyftMSSn6ZYdK7fRf2vNetWxqej2N/Hjj7O7wP8AUk7wfwArgqZFi4bJP0Z2087w0viuj6x/GjI9a8Q0L9rHwpqO1NQtr3SpMLlpEEiZPXBU5wPUgV6d4d8eaD4uhL6RqttekDc0ccg3qM4yVPIGe5FeRWwleh/Eg0erSxdCt/DmmdHRSBs0tcp2BRRRQAUUUUAFFFFABRRRQAUUUUAFFFFABRRRQAUUUUAFFFFABTdtOooAbgcVx/xH+G9h8TtJg07Urq8treKbzsWcioWIBGDuU8c12PGKKqM5QalF2aIlCM4uMloyC3t0tYI4Y0VIo1CqijAUAYAFT7RSbqdUlWSE2ik206igYm0UbaWigBNopaKKACiiigAooooAKKKKACiiigAooooAKKKKACiiigAooooAKKKKACiiigAooooAKKKKACiiigAooooAKKKKACiiigAooooAKKKKACiiigAooooAKKKKACiiigAooooAKKKKACiiigAooooAbWFqrbrwj+6oFbrVzd4266kP+1XRRXvXPGzSfLRUe7IqKKK9A+TCiiigAooooAKKKKACiiigAooooAKKKKACiiigAooooAKKKKACiiigAooooAKKKKAHR53bf7wYfpTF6U+L/WL9cU32qepu/wCGgo68UU+3XfPGvq1KWiIpx5pqK6nQ267IVX0GKmpqrgCnN0ryj7+KtFIWiiigoKKKKACiiigAooooAKKKKACiiigApG6UtI1AHlHxy+Mi/C/T7eCzgW61m8BMSyHCRIOC7evoB9eeMH5G8VeOtf8AG10Z9a1S4vucrEzERJ/uoOB+Wa96/aj/ALIvvEmkafqLtY3LW5eDUFXei5fBSVeu3jOV5HPBzXz9rXhbU9C2vdW262fmO8gYSwSjGcrIuVPHvkd+a+/yWlh40YzcfffV/ofBZtWryrSgn7q6L9TJooor64+aCiiigQUUUUAFFFFABRRRQAUUUUAFFFFABRRRQAUUUUAFS2t1Pp9xHcWs8ltcRsGSWJyrIR3BHINRVPZ2VzqE4htbeW5mY4WOFC7H6AVE+S3v7GkOa/u7nu/wj/aT1W21a10vxRN/aFjcOIhfMAJYSeAWxgMuevfvz0P1bu3c18F6P4ftPB+rWFzr7Rz36yo8eixOrsDkFfPYZCDvs+8eh29a+8o+VHavzTOaVGnVjKhGyf3fI++yitVqU3Gq7tff8yWiiivAPoQooooAKKKKACiiigAooooAKKKKACiiigAooooAKKKKACiiigAooooAKKKKACiiigAooooAKKKKACiiigAooooAKKKKACiiigAooooAKKKKACiiigAooooAKKKKACiiigAooooAKKKKACiiigAooooAKKKKACiiigAooooAKKKKACiiigAooooAKKKKACiiigAooooAKKKKACiiigAooooAZJwpPtXMO292b1JNdHdNst5G9AT+lc3XZh+p87m0vhiFFFFdh84FFFFABRRRQAUUUUAFFFFABRRRQAUUUUAFFFFABRRRQAUUUUAFFFFABRRRQAUUUUALG2JF/wB4fzof/WN9aSnSDbI/1NT1Nf8Al38xtXNIjDXe7+6M1TrW0WPEbSf3jis6rtFnZgKftK8fLU1NopaKK80+0CiiigAooooAKKKKACiiigAooooAKKKKACiiigD5N/a+/wCRw0X/AK8T/wCjDXiWl69qOiMxsL2a1DfeWNyFbp1HQ9BXtv7Xxz4w0X/rxP8A6MNeB1+oZTGM8DBSV1/wT8zzKTjjJtM6g+L7DUoyuseHrO7fDf6XYsbKfcTnJ2gxn8Yz9aims/C135jWuoalp/A2RXlukwz3y6EZ/wC+BXOUV6P1WMX7ja+f+Zwe2k/iSZ00fg23vphHY+I9ImZk3ATyvb/gTIoXP40sfwy8TXFi13aaYdTt1bYX02aO75+kTMf0rmKPbtR7OvH4Zr5r/Kwc1LrH7n/maWpeGNY0aNX1DSb+xRujXVs8YP8A30BWb15HIrWs/Fmt6fCIrTWNQtYx0SG6kRfyBrQ/4WV4naHypdaubmP+7ckTf+hg0L6wlqk/m1+jD9y+6OZorcXxlqauGP2OQ5532MBz/wCOVbb4gX0i7W0/Rz7/ANmQg/otPnrr7C+//gC5afSX4HMUVtyeLJpG3NpulZ9rJB/IUn/CTN/0DdM/8A0p+0q/yfiHLT/m/AxaMitr/hKJP+gbpf8A4BpVmHxxdwDCadpH46dEf5rS9pW6Q/EOSn/P+BzmR60V0N1461K4YEQ6bCB2i06Bf/ZKW1+IOv2Jza3wtD2NvBHGR9CqjFHNX/lX3/8AAHy0v5n93/BMSzsbnUJlhtLaa6mbgRwoXY/gK6Cz+GPi2+l2J4d1KLjcXubdoUA92fAH51Wn8f8Aia4YmTxBqjbuo+2SAfkGrGuLmW7maWeWSeVvvSSMWY/Ump/2l9l97/yD9yu7+5f5m/8A8IPcQ27S3mqaPZqrbNjX8cz5/wB2IuaRtD0C1ZluPEfn4XP+gWbyZPplyn51zlFUqVV/FP7kl/mHPBbR+86dNW8M6WCbTQ7jVZ9q/vdWuiItwOSRFEFOPYyGq99441e8jeGKaPTrVsj7Lp8a28eCc4woBI+uTWBRRHDU07y19dROtO1lovIs6b/yErT/AK7J/MV+kMf3BxX5vab/AMhK0/67J/6EK+9W+K3guFjHJ4s0VJEJVla/iBBB5BG6vi+JpRpyp8ztv+h9dw/8M/kdfS1x/wDwt7wP/wBDdof/AIMIv/iqP+Fu+B/+hu0P/wAGEX/xVfE+3pfzL7z647CiuP8A+Fu+B/8AobtD/wDBhF/8VR/wt3wP/wBDdof/AIMIv/iqPb0v5l94HYUVx/8Awt3wP/0N2h/+DCL/AOKo/wCFu+B/+hu0P/wYRf8AxVHt6X8y+8Dr+KOK5D/hb3gj/ob9E/8ABhF/8VR/wt7wR/0N+if+DCL/AOKo9vS/mX3iudhRXH/8Le8D/wDQ3aH/AODCL/4qj/hbvgf/AKG7Q/8AwYRf/FUe3pfzL7xnYUVx/wDwt3wP/wBDdof/AIMIv/iqP+Fu+B/+hu0P/wAGEX/xVHt6X8y+8DsKK4//AIW74H/6G7Q//BhF/wDFUf8AC3fA/wD0N2h/+DCL/wCKo9vS/mX3gdhRXH/8Ld8D/wDQ3aH/AODCL/4qj/hbvgf/AKG7Q/8AwYRf/FUe3pfzL7wOworj/wDhbvgf/obtD/8ABhF/8VR/wt3wP/0N2h/+DCL/AOKo9vS/mX3gdhRXH/8AC3fA/wD0N2h/+DCL/wCKo/4W74H/AOhu0P8A8GEX/wAVR7el/MvvA7CiuP8A+Fu+B/8AobtD/wDBhF/8VR/wt3wP/wBDdof/AIMIv/iqPb0v5l94HYUVx/8Awt3wP/0N2h/+DCL/AOKo/wCFu+B/+hu0P/wYRf8AxVHt6X8y+8DsKK4//hbvgf8A6G7Q/wDwYRf/ABVH/C3fA/8A0N2h/wDgwi/+Ko9vS/mX3gdhRXH/APC3fA//AEN2h/8Agwi/+Ko/4W74H/6G7Q//AAYRf/FUe3pfzL7wOworj/8Ahbvgf/obtD/8GEX/AMVR/wALd8D/APQ3aH/4MIv/AIqj29L+ZfeB2FFcf/wt3wP/ANDdof8A4MIv/iqP+Fu+B/8AobtD/wDBhF/8VR7el/MvvA7CiuP/AOFu+B/+hu0P/wAGEX/xVH/C3fA//Q3aH/4MIv8A4qj29L+ZfeB2FFcf/wALd8D/APQ3aH/4MIv/AIqj/hbvgf8A6G7Q/wDwYRf/ABVHt6X8y+8Dr+KOK5D/AIW94I/6G/RP/BhF/wDFUf8AC3vBH/Q36J/4MIv/AIqj29L+ZfeK52FFcf8A8Le8D/8AQ3aH/wCDCL/4qj/hbvgf/obtD/8ABhF/8VR7el/MvvGdhRXH/wDC3fA//Q3aH/4MIv8A4qj/AIW74H/6G7Q//BhF/wDFUe3pfzL7wOworj/+Fu+B/wDobtD/APBhF/8AFUf8Ld8D/wDQ3aH/AODCL/4qj29L+ZfeB2FFcf8A8Ld8D/8AQ3aH/wCDCL/4qj/hbvgf/obtD/8ABhF/8VR7el/MvvA7CiuP/wCFu+B/+hu0P/wYRf8AxVH/AAt3wP8A9Ddof/gwi/8AiqPb0v5l94HYUVx//C3fA/8A0N2h/wDgwi/+Ko/4W74H/wChu0P/AMGEX/xVHt6X8y+8DsKK4/8A4W74H/6G7Q//AAYRf/FUf8Ld8D/9Ddof/gwi/wDiqPb0v5l94HYUVx//AAt3wP8A9Ddof/gwi/8AiqP+Fu+B/wDobtD/APBhF/8AFUe3pfzL7wOworj/APhbvgf/AKG7Q/8AwYRf/FUf8Ld8D/8AQ3aH/wCDCL/4qj29L+ZfeB2FFcf/AMLd8D/9Ddof/gwi/wDiqP8Ahbvgf/obtD/8GEX/AMVR7el/MvvA7CiuP/4W74H/AOhu0P8A8GEX/wAVR/wt3wP/ANDdof8A4MIv/iqPb0v5l94HYUVx/wDwt3wP/wBDdof/AIMIv/iqP+Fu+B/+hu0P/wAGEX/xVHt6X8y+8DsKK4//AIW74H/6G7Q//BhF/wDFUf8AC3fA/wD0N2h/+DCL/wCKo9vS/mX3gdfxRxXIf8Le8Ef9Dfon/gwi/wDiqP8Ahb3gj/ob9E/8GEX/AMVR7el/MvvFc7CiuP8A+FveB/8AobtD/wDBhF/8VR/wt3wP/wBDdof/AIMIv/iqPb0v5l94zsKK4/8A4W74H/6G7Q//AAYRf/FUf8Ld8D/9Ddof/gwi/wDiqPb0v5l94HYUVx//AAt3wP8A9Ddof/gwi/8AiqP+Fu+B/wDobtD/APBhF/8AFUe3pfzL7wOworj/APhbvgf/AKG7Q/8AwYRf/FUf8Ld8D/8AQ3aH/wCDCL/4qj29L+ZfeB2FFcf/AMLd8D/9Ddof/gwi/wDiqP8Ahbvgf/obtD/8GEX/AMVR7el/MvvA7CiuP/4W74H/AOhu0P8A8GEX/wAVR/wt3wP/ANDdof8A4MIv/iqPb0v5l94HYUVx/wDwt3wP/wBDdof/AIMIv/iqP+Fu+B/+hu0P/wAGEX/xVHt6X8y+8DsKSuQ/4W74H/6G7Q//AAYRf/FUf8Ld8D/9Ddof/gwi/wDiqPrFL+ZfeB0uoNttJT7Vz9Ft438P+J457fSNb0/VLiNd7x2dykzKuQMkKTgZo616eGalHmi7nyubO9WK8gooortPECiiigAooooAKKKKACiiigAooooAKKKKACiiigAooooAKKKKACiiigAooooAKKKKACnzf61/rUbVJN/rX+tT9o1/5dv1GYzwOtdFZxeTbontzWLp9uZrpePlXk10IHT0rjry+yfRZXStF1H1HUUUVynvBRRRQAUUUUAFFFFABRRRQAUUUUAFFFFABRRRQB8m/tff8jhof/Xkf/RhrwOvfP2vv+Rw0P8A68j/AOjDXgdfqWTf7lT+f5n5jmn+9zCiiivbPKCiiigAooooAKKKKACiiigAooooAKKKKACiiigAooooAKKKKALWl/8AIStP+uyf+hCvqq8/Yx+GuoXU11NZX3mzyNK5W8YDcxJP6mvlTTf+Qlaf9dk/mK/SGP7q/Svz3iilCtKmpq9r/ofa8P8Awz+R4L/wxL8MP+fHUP8AwOaj/hiP4X/8+Oof+BzV77tFG0V8P9Tw/wDIj62yPAv+GI/hf/z46h/4HNR/wxH8L/8Anx1D/wADmr33aKNoo+p4f+RBZHgX/DEfwv8A+fHUP/A5qP8AhiP4X/8APjqH/gc1e+7RRtFH1PD/AMiCyPAv+GI/hf8A8+Oof+BzUv8AwxJ8MP8Anw1D/wADmr3zaKNoo+p4f+RBZHgX/DEfwv8A+fHUP/A5qP8AhiP4X/8APjqH/gc1e+7RRtFH1PD/AMiCyPAv+GI/hf8A8+Oof+BzUf8ADEfwv/58dQ/8Dmr33aKNoo+p4f8AkQWR4F/wxH8L/wDnx1D/AMDmo/4Yj+F//PjqH/gc1e+7RRtFH1PD/wAiCyPAv+GI/hf/AM+Oof8Agc1H/DEfwv8A+fHUP/A5q992ijaKPqeH/kQWR4F/wxH8L/8Anx1D/wADmo/4Yj+F/wDz46h/4HNXvu0UbRR9Tw/8iCyPAv8AhiP4X/8APjqH/gc1H/DEfwv/AOfHUP8AwOavfdoo2ij6nh/5EFkeBf8ADEfwv/58dQ/8Dmo/4Yj+F/8Az46h/wCBzV77tFG0UfU8P/IgsjwL/hiP4X/8+Oof+BzUf8MR/C//AJ8dQ/8AA5q992ijaKPqeH/kQWR4F/wxH8L/APnx1D/wOaj/AIYj+F//AD46h/4HNXvu0UbRR9Tw/wDIgsjwL/hiP4X/APPjqH/gc1H/AAxH8L/+fHUP/A5q992ijaKPqeH/AJEFkeBf8MR/C/8A58dQ/wDA5qP+GI/hf/z46h/4HNXvu0UbRR9Tw/8AIgsjwL/hiP4X/wDPjqH/AIHNR/wxH8L/APnx1D/wOavfdoo2ij6nh/5EFkeBf8MR/C//AJ8dQ/8AA5qP+GI/hf8A8+Oof+BzV77tFG0UfU8P/IgsjwL/AIYj+F//AD46h/4HNS/8MSfDD/nw1D/wOavfNoo2ij6nh/5EFkeBf8MR/C//AJ8dQ/8AA5qd/wAMS/DD/nw1D/wNave9oo2ij6nh/wCRBZHgX/DEfwv/AOfHUP8AwOaj/hiP4X/8+Oof+BzV77tFG0UfU8P/ACILI8C/4Yj+F/8Az46h/wCBzUf8MR/C/wD58dQ/8Dmr33aKNoo+p4f+RBZHgX/DEfwv/wCfHUP/AAOaj/hiP4X/APPjqH/gc1e+7RRtFH1PD/yILI8C/wCGI/hf/wA+Oof+BzUf8MR/C/8A58dQ/wDA5q992ijaKPqeH/kQWR4F/wAMR/C//nx1D/wOaj/hiP4X/wDPjqH/AIHNXvu0UbRR9Tw/8iCyPAv+GI/hf/z46h/4HNR/wxH8L/8Anx1D/wADmr33aKNoo+p4f+RBZHgX/DEfwv8A+fHUP/A5qP8AhiP4X/8APjqH/gc1e+7RRtFH1PD/AMiCyPAv+GI/hf8A8+Oof+BzUf8ADEfwv/58dQ/8Dmr33aKNoo+p4f8AkQWR4F/wxH8L/wDnx1D/AMDmo/4Yj+F//PjqH/gc1e+7RRtFH1PD/wAiCyPAv+GI/hf/AM+Oof8Agc1H/DEfwv8A+fHUP/A5q992ijaKPqeH/kQWR4F/wxH8L/8Anx1D/wADmo/4Yj+F/wDz46h/4HNXvu0UbRR9Tw/8iCyPAv8AhiP4X/8APjqH/gc1H/DEfwv/AOfHUP8AwOavfdoo2ij6nh/5EFkeBf8ADEfwv/58dQ/8Dmo/4Yj+F/8Az46h/wCBzV77tFG0UfU8P/IgsjwP/hiT4Yf8+Gof+BzUn/DEfwv/AOfHUP8AwOavfdoo2ij6nh/5EFkeBf8ADEfwv/58dQ/8Dmo/4Yj+F/8Az46h/wCBzV77tFG0UfU8P/IgsjwL/hiP4X/8+Oof+BzUf8MR/C//AJ8dQ/8AA5q992ijaKPqeH/kQWR4F/wxH8L/APnx1D/wOaj/AIYj+F//AD46h/4HNXvu0UbRR9Tw/wDIgsjwL/hiP4X/APPjqH/gc1H/AAxH8L/+fHUP/A5q992ijaKPqeH/AJEFkeBf8MR/C/8A58dQ/wDA5qP+GI/hf/z46h/4HNXvu0UbRR9Tw/8AIgsjwL/hiP4X/wDPjqH/AIHNR/wxH8L/APnx1D/wOavfdoo2ij6nh/5EFkeBf8MR/C//AJ8dQ/8AA5qP+GI/hf8A8+Oof+BzV77tFG0UfU8P/IgsjwL/AIYj+F//AD46h/4HNR/wxL8MP+fHUP8AwOavfdoowKPqeH/kQWR5P4J+AHhD4RXV3qHh22uYbm6iFvIZrgyApuDYwfcCut7Vt6x/x6gf7QrFFexhacadPlirI+TzT+OvQKKKK7TxwooooAKKKKACiiigAooooAKKKKACiiigAooooAKKKKACiiigAooooAKKKKACiiigBGqV1ZrgqBkk9qi25YD3roobWKP5lTDHkmuepU5Gepg8K8VFq9kmM0+1+zwjI+duWq3Rij2rgbbdz62nBU4qEdkOooopGgUUUUAFFFFABRRRQAUUUUAFFFFABRRRQAUUUUAfJv7X3/I4aH/15H/0Ya8Dr3z9r7/kcND/AOvI/wDow14HX6lk/wDuUPn+Z+Y5p/vcwooor2zygooooAKKKKACiiigAooooAKKKKACiiigAooooAKKKKACiiigCzpv/IStP+uyfzFfpDH/AKtcelfm/pf/ACErT/rsn/oQr6Uvv26Ph/pd9cWcthrzSW8jRPstYiMqSDj976ivzziirCjOm5u17/ofa8P/AAz+R9IUV81f8N8fDz/oG+If/ASH/wCPUf8ADfHw8/6BviH/AMBIf/j1fDfXqH8x9c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x8PP+gb4h/8BIf/AI9R9eofzAfStFfNX/DfHw8/6BviH/wEh/8Aj1H/AA3x8PP+gb4h/wDASH/49R9eofzAfStFfNX/AA3x8PP+gb4h/wDASH/49R/w3t8O/wDoH+If/ASH/wCO0fXqH8wH0FrX+oX/AHqx64z4b/Hnw98bodTOgW+oQHTWiExvokTPmB9u3a7Z/wBWc9O1dnXt4aUZ01OLumfH5n/HfogooorsPKCiiigAooooAKKKKACiiigAooooAKKKKACiiigAooooAKKKKACiiigAooooAKKKKAHQrumQf7Q/nXTL92ubtVzdR/7w/nXS+lcOI3R9PlK9yT8x1FFFcp7wUUUUAFFFFABRRRQAUUUUAFFFFABRRRQAUUUUAFFFFAHyb+19/wAjhof/AF5H/wBGGvA698/a+/5HDQ/+vI/+jDXgdfqWTf7lT+f5n5jmn+9zCiiivbPKCiiigAooooAt6Tps2tapZadbbftF3OlvFvOF3OwUZPpkivUpv2Z/EdvceRLrGgRTf883vHDfl5dcF8Pv+R/8L/8AYVtf/RyV7B8aPg34v8XfFC/v9M0kzWNx5KpdNPGqjEaKSQW3YBB7dq+dx2KqU8RGkpqCabu0ezhcPGpRlUcHJppaHjfjDwXq3gXV307V7fyZsbkdTuSVezKe4rqvCvwH17xb4as9dttQ0m1srreE+2XLRt8rsh42EdVPet/9ozUFgbwp4ckZpdQ0WwEd1cbSBIzIgwCRkgbCc/7X1q9q3h/U/EP7N/guHTNPutRmS8uGaO1haRgPNm5IAOBWMsdXlh6U+ZRcna/lrqaxwtKNapCzkoq9vu0OH8afCDVPA2lLf32p6TdRNKsQjsbgySZOecFRxxW6P2bfEDAH+3PDv/ga3/xFee6x4U1rw7HHLqmk32nRyNtR7q3aMMcdBuHNX/h14GufiD4rtNJg3JEx33EyjPlRD7zf0HuRXXJ1lR9qq6sr3dl/mc0VTdXkdJ69Lm740+COueBfD41q9vdLurJpVjH2O4ZyWOemUAPQ9689r0343eNrPWdStPD2hFV8N6GvkWywtlJHHDOD/F6A5OevfJ8yrrwEq06CnXer/LoYYyNKNVxorRf0wooor0jhCiiigAooooAs6b/yErT/AK7J/wChCv0aXT7VlBNvET/uCvzl03/kJWn/AF2T+Yr9Io/uCvgeJYqU6d13/Q+2yD4Z/L9Sv/Ztp/z7xf8AfApf7Ntf+faP/vgVZ5o5r4r2cP5UfWlb+zbX/n2j/wC+BR/Ztr/z7R/98CrPNHNHs4fyoCt/Ztr/AM+0f/fAo/s21/59o/8AvgVZ5o5o9nD+VAVv7Ntf+faP/vgUf2ba/wDPtH/3wKs80c0ezh/KgK39m2v/AD7xf98Cj+zbX/n3i/74FWqKfsodgKv9m2v/AD7R/wDfAo/s21/59o/++BVnmjml7OH8qArf2ba/8+0f/fAo/s21/wCfaP8A74FWeaOaPZw/lQFb+zbX/n2j/wC+BR/Ztr/z7R/98CrPNHNHs4fyoCt/Ztr/AM+0f/fAo/s21/59o/8AvgVZ5o5o9nD+VAVv7Ntf+faP/vgUf2ba/wDPtH/3wKs80c0ezh/KgK39m2v/AD7R/wDfAo/s21/59o/++BVnmjmj2cP5UBW/s21/594v++BR/Ztr/wA+8X/fAq1RT9lDsBV/s21/59o/++BR/Ztr/wA+0f8A3wKs80c0vZw/lQFb+zbX/n2j/wC+BR/Ztr/z7R/98CrPNHNHs4fyoCt/Ztr/AM+0f/fAo/s21/59o/8AvgVZ5o5o9nD+VAVv7Ntf+faP/vgUf2ba/wDPtH/3wKs80c0ezh/KgK39m2v/AD7R/wDfAo/s21/59o/++BVnmjmj2cP5UBW/s21/59o/++BR/Ztr/wA+0f8A3wKs8+1Jmj2cP5UBX/s21/59o/8AvgUf2ba/8+0f/fAqxu9xRuHqKPZ0+yAr/wBm2v8Az7R/98Cj+zbX/n2j/wC+BVjd7ijd7ij2dPsgK/8AZtr/AM+0f/fAo/s21/59o/8AvgVY3e9LzR7OH8qArf2ba/8APtH/AN8Cj+zbX/n2j/74FWeaOaPZw/lQFb+zbX/n3i/74FH9m2v/AD7xf98CrVFP2UOwFX+zbX/n2j/74FH9m2v/AD7R/wDfAqzzRzS9nD+VAVv7Ntf+faP/AL4FH9m2v/PtH/3wKs80c0ezh/KgK39m2v8Az7R/98Cj+zbX/n2j/wC+BVnmjmj2cP5UBW/s21/59o/++BR/Ztr/AM+0f/fAqzzRzR7OH8qArf2ba/8APtH/AN8Cj+zbX/n2j/74FWeaOaPZw/lQFb+zbX/n2j/74FH9m2v/AD7R/wDfAqzzRzR7OH8qArf2ba/8+8X/AHwKP7Ntf+feL/vgVaop+yh2Aq/2ba/8+0f/AHwKP7Ntf+faP/vgVZ5o5pezh/KgK39m2v8Az7R/98Cj+zbX/n2j/wC+BVnmjmj2cP5UBW/s21/59o/++BR/Ztr/AM+0f/fAqzzRzR7OH8qArf2ba/8APtH/AN8Cj+zbX/n2j/74FWeaOaPZw/lQFb+zbX/n2j/74FH9m2v/AD7R/wDfAqzzRzR7OH8qArf2ba/8+0f/AHwKP7Ntf+faP/vgVZ5o5o9nD+VAVv7Ntf8An3i/74FH9m2v/PvF/wB8CrVFP2UOwFX+zbX/AJ9o/wDvgUf2ba/8+0f/AHwKs80c0vZw/lQFb+zbX/n2j/74FH9m2v8Az7R/98CrPNHNHs4fyoCt/Ztr/wA+0f8A3wKP7Ntf+faP/vgVZ5o5o9nD+VAVv7Ntf+feL/vgUf2baf8APvD/AN8CrVFP2UOwGNqlvFbwr5USRktztAGaza19a/1KH3rIr1KCSgkj5DNP479EFFFFdJ5IUUUUAFFFFABRRRQAUUUUAFFFFABRRRQAUUUUAFFFFABRRRQAUUUUAFFFFABRRRQBPp+Tex+mf6V0Q71g6UN14PYE1vDtXn1viPrMrVqLfmOooornPZCiiigAooooAKKKKACiiigAooooAKKKKACiiigAooooA+Tf2vv+Rw0P/ryP/ow14HXvn7X3/I4aH/15H/0Ya8Dr9Tyb/cof11PzHNP97mFFFFe0eUFFFFABRRRQBv8Aw/8A+R+8L/8AYVtf/RyV3/7QPijWNN+K2r29pq9/aQosG2GG5dFXMKHgA4615VpuoT6TqNrfWzeXc2sqTxNjOHVgynH1Ar1D/hp7xu3JmsSfX7KP8a8LFYatLERrQgpJJqzdv0PWw9anGjKlOTi209DoviQ1zqPwB8PX3ihZF8Qi622skq/vnjO772RnBUA/UL68xaj4j1Tw1+zf4Mn0u+msJpLu4RngcqSPNmOK8m8XeNta8cagLvWr6S8lQFY1ICpGD2VRwKdfeNtU1DwjpvhuZ4/7L0+RpYVCYYMxYnLd+WP51hDLqnJTjKztLma6Ja6I2ljYc03G+sUk+vTVkWueMNc8URwxapql1fpG26NZ5CwUkYyK9Y1Lyfgd8MYrKP8Ad+NfEEe+aQD95a25/hz1X09zuP8ADx4hFI0MqSIcOjBlOM8g5Feq/wDDTfjfbzPYnjGfsq/41vjcLVnyQowXIndra/4GOFrU488qsnzNWT3seT0V6D4s+OXijxtodxpGpy2rWU5UuIoAjfKwYc/UCvPq9PDyqyj+9iovyd/8jgqxpxl+7k2vNBRRRXUYBRRRQAUUUUAWdN/5CVp/12T+Yr9Io/uCvzd0z/kJWn/XZP5iv0ij+4K+D4k+On8/0Ptsg+GfyH0UUV8cfWhRRRQAUUUUAFFFFABRRRQAUUUUAFFFFABRRRQAUUUUAFFFFABRRRQAUUUUAFFFFABRRRQAUUUUANzWRr/irSPCtib3WNTtNLtAcGa7mWJM+mWI59qzPiVrOp+H/AOv6no1sLzVrWylmtLfaW8yUKSq4HXnHA61+S3jnx74k+IGtS3/AIm1W61K9BIAuXO2L1VE6IPYAfnXzua5ssuSio80n9x9Lk2SyzZyfPyxjv3P0Q8VftwfC/w1vWDU7rW5VXds062LAnPQM+1c/U15d4h/4KP2kVwyaJ4LuLmEj5ZtQvVhYH/cRHyP+BV8O0V8PV4jxtR+61H0R+iUOE8BS/iJy9X/AJH1BqP/AAUI+Itysi22l6FaK2djLBK7qO3JkwT+Fco37bHxcZj/AMVDCM9hYQD/ANkrwqivNnm2NnvUZ60Miy6CsqSPVL79qT4qX05lbxnqEJP8MDKi/kBVYftL/FHH/I76t/39/wDrV5pRXM8dipauq/vZ1rLcEtqMfuR6X/w0t8Uh/wAzxq3/AH9/+tSj9pj4pf8AQ8at/wB/v/rV5nRS+u4n/n5L72P+zsH/AM+Y/cv8j2TSf2vvixpMWxPFUtyPW6gilP5stb+j/t1fFbS599xf2GqJj/VXVkir/wCQ9p/Wvnyito5ljI7VJfeYTybL5/FRj9x9daD/AMFGfFFrI39s+FNL1BP4RZTyWxH1LeZn8hXpXhn/AIKIeDtQWBNa0PVdImY/vHi2XEKf8CBVj/3xX590V6FLP8dT3lf1R5lbhfLau0eX0bP1j8D/ALSvw68fSRQ6X4ns0u5MbbW8byJCScBQHxkk9hk816irbhkNkV+JfQivrf8AYh+LXju78dWfhV7i51jwqUcStdsXFjtjJQRu3IBKBQg4wSQOCa+py3iF4mpGjVhq+q/U+NzbhdYKlKvRqXS3T/Rn6AL0paRelLX258AFFFFABRRRQAUUUUAFFFFABRRRQAUUUUAFFFFABRRRQAUUUUAFFFFABRRRQAUUUUAFFFFABRRRQAUUUUAFFFFABRRRQBm6wv8Ao6n/AGqxq2dZ/wCPUf7wrGrvofAfI5ov3/yQUUUV0nkBRRRQAUUUUAFFFFABRRRQAUUUUAFFFFABRRRQAUUUUAFFFFABRRRQAUUUUAFFFFAF/Rl/fsfRa2x0rI0UfNKe/ArXWvNrfEz7PL1bDxFooorE9IKKKKACiiigAooooAKKKKACiiigAooooAKKKKACiiigD5N/a+/5HDQ/+vI/+jDXgde+ftff8jhof/Xkf/RhrwOv1PJv9yh/XU/Mc0/3uYUUUV7R5QUUUUAFFFFABRRRQAUUUUAFFFFABRRRQAUUUUAFFFFABRRRQBZ03/kJWn/XZP5iv0jj+4K/NzTf+Qlaf9dk/wDQhX6Rx/cH0r4PiT46fz/Q+2yD4Z/IdRRRXxx9aFFFFABRRRQAUUUUAFFFFABRRRQAUUUUAFFFFABRRRQAUUUUAFFFFABRRRQAUUUUAFFFFABRRRQB5b+0tLJb/AnxpLE7RSR6dIyuhwVIwQQexr80ZviRF4jhSPxdosGvXCBVXVoX+y3+0BRh5FBWX5VAzIrN/tV+l37Tf/JBfHH/AGDJf5V+TNfm3EtWVPEQUdrfLc/UuEaEK2HqOS1Ut9nt3O2j0XwLq2z7N4i1DQpSrsV1Sy86JSPur5kJLc+vl05fhJe3sds+ka/4a1vzzhI4NXhglz6eVcmJ8/8AAa4eivj/AGtOXxQ+7Q+89hWj/DqP5pP/ACOwvvg3460+6aCTwlrEjr1NrZvOn4NGGU/ga5260HU7KZ4bjTruCVDho5YGVlPoQRVezvLjTphNa3EttMOBJC5Rh+IrXt/HniW0mWWHxBqiSL0YXknH60v3HZ/gFsUusX96/wAzHltZ4BmSGSMf7SkVFXXXHxf8a3key58UancJ/dmuGcfrVf8A4WX4o/6DV1/30P8ACjlo/wAz+4aliesI/e/8jmaVVLnCjcfaul/4WZ4o/wCg1df99D/Clj+J3iqJgya7eI3ZlcA/nijlo/zP7h82J6RX3v8AyMAabdtyLWYjrnyz/hWppXgTxLrsLy6b4d1bUI0OGe1sZZQPqVU1o33xb8aalb+Rc+KdWlh/uG7fH86xrjxVrd3C8U+sahNEww0cl07KR7gmn+5Xd/cL/a3/ACr73/kdDH8G/F4sReXmkro9qW2iTWbuCwGfTE7oakl+HekaQxGs+ONEiby9/k6X5uoSbuyBkURE/wDbTFcLtFLT9pRjtC/qyfY4iT96pb0X+dztDeeA9H2tb2GreJJV2n/TpVs4GO07gyRlnIzjo4OO9eqfswePNS8TftE+CLN47XTNJt5LpoNL02AQW8bfY5QWIHLucDLuWY+tfO9ezfsc/wDJyXg3/fuv/SSau/AVpPFU4qyV1seZmmFpxwVWcrykovV+n3L5H6orS0lLX7SfgoUUUUAFFFFABRRRQAUUUUAFFFFABRRRQAUUUUAFFFFABRRRQAUUUUAFFFFABRRRQAUUUUAFFFFABRRRQAUUUUAFFFFAFDV13Wh9iDWHW/qnzWclYFd1D4T5XNV+9T8gooorqPECiiigAooooAKKKKACiiigAooooAKKKKACiiigAooooAKKKKACiiigAooooAKKKKANjRF/0dmx1atE9aqaYuyzjH4/rVyvKm7yZ93hY8tGC8haKKKg6gooooAKKKKACiiigAooooAKKKKACiiigAooooAKKKKAPk39r7/kcND/AOvI/wDow14HXvn7X3/I4aH/ANeR/wDRhrwOv1PJv9yh/XU/Mc0/3uYUUUV7R5QUUUUAFFFFABRRRQAUUUUAFFFFABRRRQAUUUUAFFFFABRRRQBZ03/kJWn/AF2T/wBCFfpHH9wfSvzc03/kJWn/AF2T/wBCFfpHH9wV8HxJ8dP5/ofbZB8M/kOooor44+tCiiigAooooAKKKKACiiigAooooAKKKKACiiigAooooAKKKKACiiigAooooAKKKKACiiigAooooA8t/ae/5IH44/7Bkv8AKvyZr9Zv2nv+SB+OP+wZL/KvyZr8w4o/3iHp+p+tcG/7tU/xfoFFFFfFn6GFFFFMAooooC4UUUUAFFFFABRRRSAK9U/ZfvL/AE/426HdaVbLe6nBb38trbMCRLMtjOUQ4I6tgdR1ryuvZ/2Of+TkPBv+/df+kk1ehl6vi6a80eRm3+4Vv8L/ACPqT/hdX7RP/RL7H/vxL/8AH6P+F1ftE/8ARL7H/vxL/wDH6+q/wpfwr9g+q1P+frP56PlP/hdX7RP/AES+x/78S/8Ax+j/AIXV+0T/ANEvsf8AvxL/APH6+rPwo/Cj6rU/5+sD5T/4XV+0T/0S+x/78S//AB+j/hdX7RP/AES+x/78S/8Ax+vqz8KPwo+q1P8An6wPlP8A4XV+0T/0S+x/78S//H6P+F1ftE/9Evsf+/Ev/wAfr6s/Cj8KPqtT/n6wPlP/AIXV+0T/ANEvsf8AvxL/APH6P+F1ftE/9Evsf+/Ev/x+vqz8KPwo+q1P+frA+U/+F1ftE/8ARL7H/vxL/wDH6P8AhdX7RP8A0S+x/wC/Ev8A8fr6s/Cj8KPqtT/n6wPlP/hdX7RP/RL7H/vxL/8AH6P+F1ftE/8ARL7H/vxL/wDH6+rPwo/Cj6rU/wCfrA+U/wDhdX7RP/RL7H/vxL/8fo/4XV+0T/0S+x/78S//AB+vqz8KPwo+q1P+frA+U/8AhdX7RP8A0S+x/wC/Ev8A8fo/4XV+0T/0S+x/78S//H6+rPwo/Cj6rU/5+sD5T/4XV+0T/wBEvsf+/Ev/AMfo/wCF1ftE/wDRL7H/AL8S/wDx+vqz8KPwo+q1P+frA+U/+F1ftE/9Evsf+/Ev/wAfo/4XV+0T/wBEvsf+/Ev/AMfr6s/Cj8KPqtT/AJ+sD5T/AOF1ftE/9Evsf+/Ev/x+j/hdX7RP/RL7H/vxL/8AH6+rPwo/Cj6rU/5+sD5T/wCF1ftE/wDRL7H/AL8S/wDx+j/hdX7RP/RL7H/vxL/8fr6s/Cj8KPqtT/n6wPlP/hdX7RP/AES+x/78S/8Ax+j/AIXV+0T/ANEvsf8AvxL/APH6+rPwo/Cj6rU/5+sD5T/4XV+0T/0S+x/78S//AB+j/hdX7RP/AES+x/78S/8Ax+vqz8KPwo+q1P8An6wPlP8A4XV+0T/0S+x/78S//H6P+F1ftE/9Evsf+/Ev/wAfr6s/Cj8KPqtT/n6wPlP/AIXV+0T/ANEvsf8AvxL/APH6P+F1ftE/9Evsf+/Ev/x+vqz8KPwo+q1P+frA+U/+F1ftE/8ARL7H/vxL/wDH6P8AhdX7RP8A0S+x/wC/Ev8A8fr6s/Cj8KPqtT/n6xHzn8Pvih8Z/EHiyy0/xV4AtdI0KYSC4vYonVogEYqeZWHLADp3r2KunkyYyPauY2leDwa9fBU5U4uMpOXqfN5tHWMgooor1D54KKKKACiiigAooooAKKKKACiiigAooooAKKKKACiiigAooooAKKKKACiiigAoop0a75EX1YfzpPYuEeaSR0VsnlwKo7ACpj0pq/dApx715LPv4rlikLRRRSLCiiigAooooAKKKKACiiigAooooAKKKKACiiigAooooA+Tf2vv+Rw0P/ryP/ow14HXvn7X3/I4aH/15H/0Ya8Dr9Tyb/cof11PzHNP97mFFFFe0eUFFFFABRRRQAUUUUAFFFFABRRRQAUUUUAFFFFABRRRQAUUUUAWdN/5CVp/12T+Yr9Io/uCvzd03/kJWn/XZP5iv0ij+4K+D4k+On8/0Ptsg+GfyH0UUV8cfWhRRRQAUUUUAFFFFABRRRQAUUUUAFFFFABRRRQAUUUUAFFFFABRRRQAUUUUAFFFFABRRRQAUUUUAeW/tPf8kD8cf9gyX+VfkzX6zftPf8kD8cf9gyX+VfkzX5jxR/vEPT9T9a4N/wB2qf4v0Cvaf2a/hHovxEuPFGueJWml0DwzZrd3NjbFlkuSwcqgZeVGI2zjnkcjmvFq9L+A3xrvPgp4onuxarqeiahF9n1HTmOBLHzgjtuXJxkYIYjvmvmsDKlGvF1vh/qx9dmkK88LOOGfvf1f52O51D4yfB/xdZ3Gman8Ko9AtQki2uoaNMFuYm2EKzgBQ5zjhiw9jXFfs+fBWf43+NhpRuvsOmWsZuL66TBeOMEDCg8ZJOM845PavXL/AOC3w2/aCs73U/hPqbaH4jgiNxP4ZvxtVxnJ2cnZgtjKllztGFzmq37L9rLY/Bv49o6eTeQaQYm6bkxDdBhkemP0r3vq8qmIh7ZKUNWnG1nbW2h8r9cp4fCVPqzlGp7qaldtNu19SjefFj4I+EZLrw7pnwxXxHpkbNBLrF7cA3M+BtMkbYJXOMjaVHOQBUHw2sPhHrnx88P2WmadJe+GNetJLeTTdXLZ0+6YNsVXz8+SqqpJJ/eZzkcfOXTitPwvrkvhnxNpWrwFhNY3UVyvlthsowbg9jxXmxx/PVSnCPKmumyPZnlKhQk6VSXM4v7T1dt/+GL3xE8Jy+BvHev+H5Fbdp99LbKWUjeoY7WAPOCuCPavpz4zfs56D4T/AGYdE1vTNNij8R6fFa3Oo3EbHzHWYYYuGOcbiuBjjBxgZqL9oT4Zw+PP2lPAV3YxmSx8ZQ2087Qy5ZljwJnGeABAEPH908ZrpPCvi+P4tfHX4x+DZJYxYa7pzWNpuBdEktV8tHAPTG5n4717FHB06c6sJr43aP3XX6Hz+IzGtVhQq05W5EpT89Umn+LPnn9mD4e2vxM+MWk6ZqNt9q0m3SS9vEb7nlRrwG9i5Rf+BV2Hwd+E3hT4wfE3x3rE8Mll4J0FpL1dLtdyvNCXcxx7gSVG1DkKc84GO1/4D6a/w4+C3xd8aX0K22oRQjQLcTKRJFIxAlU+mWeL6FK8w+Bvxs1H4J+K5NRt7ddR069j+z6hYSNtE8eeoPZhk4JB6kd64qcaGGVGFdbtt/kvl1PRrSxOMliJ4aXwpRX5v562uehXXxm+DfiiOXSdU+FKaHpoRkttR0ecC7jO0hWbhd5BxwxYdyDXzvX1bf8Awf8Ahn+0Zb3uofC3UW8P+K0Q3Evh2/G2OQdW28nbgnGVJXgDAzmvlrUNPuNJ1C6sbuIw3VrK0M0bdUdSQw/Ag1x5lGquWU+Vx6OKVn9x35POh78YcykrXjJtteevfuivXs37HP8Aych4M/37r/0kmrxmvVf2XL670v44aDeafaf2hf28F/Nb2gODPItlOVTP+0QB+NcmXvlxdN+aO/Nv9wrf4X+R+sO6jdXzJ/wvz4z9vg/J/wB/mo/4X18aP+iPv/3/AHr9g+vU+z+5n88H03uo3V8yf8L6+NH/AER9/wDv+9H/AAvr40f9Eff/AL/vR9ep9n9zA+m91G6vmT/hfXxo/wCiPv8A9/3o/wCF9fGj/oj7/wDf96Pr1Ps/uYH03uo3V8yf8L6+NH/RH3/7/vR/wvr40f8ARH3/AO/70fXqfZ/cwPpvdRur5k/4X18aP+iPv/3/AHo/4X18aP8Aoj7/APf96Pr1Ps/uYH03uo3V8yf8L6+NH/RH3/7/AL0f8L6+NH/RH3/7/vR9ep9n9zA+m91G6vmT/hfXxo/6I+//AH/ej/hfXxo/6I+//f8Aej69T7P7mB9N7qN1fMn/AAvr40f9Eff/AL/vR/wvr40f9Eff/v8AvR9ep9n9zA+m91G6vmT/AIX18aP+iPv/AN/3o/4X18aP+iPv/wB/3o+vU+z+5gfTe6jdXzJ/wvz40f8ARH5P+/zUv/C+/jR/0R9/+/7UfXqfZ/cwufTW6jdXzJ/wvr40f9Eff/v+9H/C+vjR/wBEff8A7/vR9ep9n9zA+m91G6vmT/hfXxo/6I+//f8Aej/hfXxo/wCiPv8A9/3o+vU+z+5gfTe6jdXzJ/wvr40f9Eff/v8AvR/wvr40f9Eff/v+9H16n2f3MD6b3Ubq+ZP+F9fGj/oj7/8Af96P+F9fGj/oj7/9/wB6Pr1Ps/uYH03uo3V8yf8AC+vjR/0R9/8Av+9H/C+vjR/0R9/+/wC9H16n2f3MD6b3Ubq+ZP8AhfXxo/6I+/8A3/ej/hfXxo/6I+//AH/ej69T7P7mB9N7qN1fMn/C+vjR/wBEff8A7/vR/wAL6+NH/RH3/wC/70fXqfZ/cwPpvdRur5k/4X18aP8Aoj7/APf96P8Ahffxo/6I+/8A3/ej69T7P7mB9NMwrmrhdtxIP9o14U3x8+NH/RH3/wC/zV7B4d1S+1vQdP1DU9Ok0nUbmBZLixk6wyY+Zfzr0cHio1pOMU/mrHiZpG9KL7M0qKKK9o+WCiiigAooooAKKKKACiiigAooooAKKKKACiiigAooooAKKKKAFaPbHG3QtnNJT5P9TB9G/pTKiJrUST07L8goooqzIKhurz+z7aa6yo8ldw3HgnoB+ZFS+tcr8SNSFlolnbgrvvL6GPaeu1WDk/mF/OuDG1lh6Eps9bK8O8Vi4U13/I9UTpTqjj/1a/SpK5I7H14UUUVQBRRRQAUUUUAFFFFABRRRQAUUUUAFFFFABRRRQAUUUjdKAPk79r7/AJG/Rf8Aryb/ANGGvA6+zPj18GZviVa219p0yx6vZoURJSQkyE525/hOeh9+fUfImueHdU8M3j2mq6fcafcI20pPGVz7g9CPccHtX6RkmKpSw0aXN7y6fM/O82w9SGIlVa919TOooor6U8AKKKKACiiigAooooAKKKKACiiigAooooAKKKKACiiigAoop0cbzSKkal3Y4CqMk1Lly7lavQsaXzqVp/12T/0IV+kEfCD6V8hfB/8AZ61bxFqVrquu28umaVDIsiwyqUmnwc4x1Vfc9e3rX18vC4r87z7E0q9WKpu/Le593kmHqUacpVFa9rD6KKK+YPpgooooAKKKKACiiigAooooAKKKKACiiigAooooAKKKKACiiigAooooAKKKKACiiigAooooAKKKKAPLf2nv+SB+OP8AsGS/yr8ma/Wb9p7/AJIH44/7Bkv8q/JmvzDij/eIen6n61wb/u1T/F+gV6f8KPhd4a+Jmh6jBdeMbXw14oinH2S21PC21xFsJ5fqrbgeRnAH3TkV5hRXyVGpGnNSnHmXY+5xNGdany058r7n1t8Gfh/oP7N+vXHjnxd478PX0lnbSxWem6Hdm4eZ3XHPyg9MjG0jnJIxXB/s+fHvT/BfxG8QS+KIN3hrxT5keoRFfNSLczFSyAfMoDsp46MeK8For03mTg4KjHljF373v3PFjk8aiqPEzc5TSV9rJaqx9H+IP2U9G1PWhe+FfiX4Vfwzcv5qNqN9suYULcqFAIcgdyVz3x1ryr4ueGPCPhDWbDTfCniB/Eyx24N7f7dkTT5ORGP7uMdzz3rhaK56+Io1E1TpKLfW7/A6sLg8RSmnVruSXSyX39z7p+AXxN8J33wb0HxB4k1OCHXvAttfWsEM7xrLIvlgxtEuctiIiMcZJDV8s/Bf4hzeEfjRoPia8udiNqOb6ZmKr5crFZWbGMgBi2OnyivPKK6KmZVKvstLOFvm+7Oehk1Kh7Zc11V/Ba6L7z64/bJ8XeHtF8J6X4Q8I6nBeWuq6rda5qX2W68zDsxIU7TgqzyO209CintXinwj+GPhn4labqdrfeMbXwx4ijkU2MWoDFtcJtbKluNp3AcjOB/Cc15lRWdfHLEV/bVIJraxphsslhcJ9Xo1GpXvzdb/ANaH1p8G/hnof7PPip/G/jHx54duorGGRLWy0O7a6lmkdSMEbVPQ9MHOeSMc/MXjDxA3i7xZrOtNF5B1C8luvLznYHcsFzgZwCO3asiioxGLVWnGjTjyxWvfVmuDwEqFWWIrT55ySW1lb0CvZv2Of+TkfBv+/df+kk1eM17P+xz/AMnIeDf9+6/9JJqnLf8Ae6Xqh5v/ALhV/wAL/I/VAdKKKWv3E/noSilopgJRS0UAJRS0UAJRS0UAJRS0UAJRS0UAJRS0UAJRS0UAJRS0UAJRS0UAJRS0UAJRS0UAJRS0UAJRS0UAJRS0UAJRS0UAJRS0UgGtWLrUe2ZWHG4Yrbb7prO1iPfb7uu05rak+WaODHU/aUJIxqKKK9M+JCiiigAooooAKKKKACiiigAooooAKKKKACiiigAooooAKKKKAJJP9XEPY/zqOnSf8s8f3f6mm1Edjar8X3fkFFFFWYhnnFeU/FbUvN8WaBYg8QlZWGOhZx3+iivVlUuwA6k4rx/4tKI/idYoOirbj/x6vk+I6jjhoxXWS/M+94QoqeLnUfSLt9x9Dxf6pfpUlRx/6tfpUlelH4UdL3CiiiqEFFFFABRRRQAUUUUAFFFFABRRRQAUUUUAFFFFABRRRQAVnatodhr1q1vqFlBewNwY54w6/ka0aKabi7omUVJWZ4x4q/Zb8I67vlsFuNDuCGP+ivujLHoSjZ4HopXrXnGr/shazbbzputWt4oHyrPG0TE/hkCvqz6ikxmvUo5pi6Oindeep5lXK8LW1cbemh8Qap+zj4802TamkJfLjJktbhCP/HiD+lcfqHgXxJpMLzXvh/VLSGP70s1nIqD/AIERiv0Q20jIPSvUp8RYmPxRTPMnkNF/BJo/NUghsEYNJX6Q3mlWmow+VdWsNzH/AHZow4/I1jzfDnwvMpD+HtLIPXFnGP6V3R4k/np/czjlw+/s1PwPz2or70k+CfgeZiz+G7Lcf9gj+tQt8CfAsgIPh20H0DD+tbf6x0usH+Bi8hrdJo+EaK+35v2cfAUzFjouzPHyTyD+tV/+GY/AH/QLn/8AAyX/AOKrT/WLD/ysn+wa/wDMj4oor7Zj/Zo8BRZxpMjf711If61oQfAPwLAoA8P27+8jMx/U0nxFQ6RYf2DX6yR8LUV95D4HeBR/zLVj+Kn/ABq9a/CnwhYrth8Oaao/2rZW/mDWf+sdPpTZa4fq9Zr8T4A57DNXdL0PUtbm8rT9Our+TrstYGkP5KDX6E6f4S0bSn32ek2No/8Aegt0Q/oK0/LX+6BXLPiSX2Kf4nTHh/8Amn+B8GaT8E/HOsxCSDw3eRpu2n7UBAfrtcg4+grtdL/ZP8W3n/H5dafYrgEZkaQ/TAFfYG2lxXDUz7Fy+GyO2nkeGj8TbPnjw7+yHpVvIsms6zdX2Np8m2QQqSOoJO4kH22mvXPDHwx8M+DlX+ydHtrZ1/5bFd8h+rtlj+ddVj8KGxxXj1sZiMR/Em2erRwVCh8EFcXpS0UVxncFFFFABRRRQAUhFAaoJ7qK1haWaRYolGWdztUD1JNAbbk56UnWuB1z41eFtH3ILxr6Vc/JaJv5B6ZOB+tcLrH7SE7M66VpKIM/LJeSFsj3VcY/76NdEMNVntE4qmMoU/ike8UcV8sal8avFmoeYBfraIxyFt4lG32Bxn9awbzx14iv2DTa1fEj+7Oy/oCK6o5fU6s4JZtSXwxbPsFpkT7zgD61lXnjDQ9PmMVzrNhbyd0lukVvyJr48uLqa7kMk8sk0n96Ryx/M1F/Ot1l3eRzyzd/ZgfW958UPCun483XbNs/88X83/0HNUv+F0eDuf8Aicqf+2Ev/wATXyrRWiy+HWRk82qdIo+ppPjZ4QjXjVd/+7BJ/Vagb47+ElOPtkzf7sDV8wUVf9n0u7I/tWt2R9QR/HbwlJn/AE2Zf96Bv8KnT42eD266vt/3oJP/AImvliil/Z9Pux/2rW7I+qv+F0eDf+g0n/fmX/4mtGz+Jfhe+jDxa7Yqv/TaYRH8mxXyJRU/2dDpJlLNqnWKPs2x8U6PqTFLTVbK6cdVhuEcj8jWisit0Ofxr4h6e30qe11C60999rczWz/3oZCh/MGs3l3aRtHN/wCaJ9t7qSvj2z8feJLFSIdcvgD/AHpi38810Om/HPxXp7IJLmG9jVcbLiIc/Urg/rWEsvqLZo6I5rSfxJo+oqK8O0f9pFdqrq2kOCB80tnIDk+yNjH/AH0a7vQ/i74Y15lSPUVtpW6R3Q8s9PU8frXJLD1ae8Tvp4yjU+GR29FMWRZFDKdwPIxTsisDsFooooA8t/ae/wCSB+OP+wZL/KvyZr9Zv2nv+SB+OP8AsGS/yr8ma/MOKP8AeIen6n61wb/u1T/F+gUU386Pzr4s/Qx1FN/Oj86A1HUU386PzoAdRTfzo/OjUB1FN/Oj86AHUU386PzoAdXs37HP/JyHg3/fuv8A0kmrxf8AOvaP2Of+TkPBv+/df+kk1ejl3+90/VHkZt/uFb/C/wAj9UaWkpa/cj+eQooooAKKKKACiiigAooooAKKKKACiiigAooooAKKKKACiiigAooooAKKKKACiiigAooooAKKKKACiiigAooooAKKKKAGjpUNxF50LL7VOOlJjrQTJKSaZyxUqxB4I4oq3qlv5NzuA+V+fxqpXqRlzJM+Er03SqOD6BRVq3tM2csuOSOPwqotEZKTdhVKMqUYuXUWiiitDAKKKKACiiigAooooAKKKKACiiigAooooAKKKKAQ6TO5R6KKbVq/tzH5bgcMoB+uKq1EHdXOjEQlTm4yCiiirOcs6ZCZboei8mvF/i5/yVK0+kH/AKFXvGkW/lw7yPmfn8K8I+Lv/JVLP6W//oVfE8Qy5qMf8S/M/VOFKPsZu+7jJ/gfQsP3F+lSVHD9xfpUle1D4UcL3CiiitBBRRRQAUUUUAFFFFABRRRQAUUUUAFFFFABRRRQAUUUUAFFFFABRRRQAUUUUAFFFFABRRRQAUUUUAFFFFABRRRQAUUUUAFFFFABRRRQAUUUUAFFFFABSelLRQBzfjjxSvg/w3d6o0XnNEAqR5wGYnAz7ZP6V8veKfG+seMLjzNRu2eMHKW6HbGn0X19+tfQ3xmvobPwTcfaYfPt5JEjdQcHBPUH1Bwfwr54m8LvdQtdaPL/AGrajlo0XFxF/vxdfxXI969nAxhy88lqfOZlOo58kXp2MKilZTGxVgVb0YYNJXsnzoUUUUwCiiigAooooAKKKKACiiigAooooAKKKKACiiigAo49KKkht5bqVYoYnmlY4VI1LEn0AFJ+Y9zp/BvxK1rwXMi29y1xYA/NZzMSmM87f7p+lfUuhaxFr2j2eoQArDdRLKqt1AIzg+9fJy+HYtKVZtcnFscblsIzm4f03DpGOf4ufQGvp34e3g1DwXpE6wpbo8C7Yo/uoo4Cj6ACvCxsYaSij6XLalS7hN6HT0UUleUe+eXftPf8kD8b/wDYMl/lX5M1+tv7RmnXOrfA7xra2kL3Fw+mTbIowWZsLnAA6nivyS/nnBr8y4pi/bwfS36n6xwbJfV6i8/0CiiividT9FCiiijUAooooAKKKKACiiijUAoooo1ATmvaP2Of+TkPBv8Av3X/AKSTV4xXt/7F+m3d9+0T4Ynt7eSaG0FzNPIqkrGht5EBY9hudR9SK9LLU3i6fqjxs4aWAq3f2X+R+pFLSL0pa/cT+ewooooAKKKKACiiigAooooAKKKKACiiigAooooAKKKKACiiigAooooAKKKKACiiigAooooAKKKKACiiigAooooAKKKKACiiigCvdWyXUZRv/wBVZseit5nzt8nt1NbAo4zjFXGcoqyOWrhqVaSlNaoj8tVi2AcYxiubZfLkZP7pxXT1gajH5d03HDc1vh5atHmZpTvTjJdCtRRRXcfLhRRRQAUUUUAFFKy7VBznjP60lK42nHcKKKKYgooooAKKKKAClVdzAeppKktl3XEY/wBoVMtma0o804o3Lq3FxbFO+OPrXPsrRsVYYYcGuox0rM1e2iWCS5d/KSJS7tjI2gZJrhp1VC/NsfUY3BuulKn8SMrmpbS2NxMF/hHLVU0e9steZvsGoWt3tAZvJmVioPTIByPxrp7W0S1j2r1PJPrVvEQnC8JXv2POw2X1fafvouKXcnVQq4AwK+efi7/yVS0/7d//AEKvoivnf4u/8lUtP+2H/oVfI55/Aj/iX5n6Tkf+8S/wv8j6Fh+4v0qSo4fuL9Kkr34fCjwHuFFFFaCCiiigAooooAKKKKACiiigAooooAKKKKACiiigAooooAKKKKACiiigAooooAKKKKACiiigAooooAKKKKACiiigAooooAKKKKACiiigAooooAKKKKACiiigDzT4/f8AJP5P+viP+Zr5pjkaGRXjZkdTkMpwR9DX0t8ff+RAk/6+I/618z19Bgf4XzPksz/j/I24fF1+rAXa2+qR8fJfRCTtj733hx6EVI194dvlHm6ZdabLs+/ZXHmR7vXy5BnH/A6wKK7vZx6aHl+0l11NhdL0qeRFh1rywy5Ju7ZkwfT5d355py+F3mjZ7fUtNnCnGDdLEfyfbWLRRyy6SHzRe8TebwHr/wBnW4j0ya6gbo9oVnB/74JqheeH9U02LzbvTLy1j/vzQOg/Mis/aPStK18SatYxiO31S9t416JFcOoH4A0fvO6D932Zm7h60v61u2/jrxDa58vWr4/9dJ2b+eain8XardNumnimb+9JbRMfzK07z7f19wWh3/r7zHorTXxJer/BZt/vWUJ/9lqUeKr0f8sLD/wBh/8Aiam8+39fcFod/wADHorXbxReN/ywsP8AwBh/+JqNvEl82Di0XH92zhH/ALLRefb+vuC1Pv8AgZlGD6Gtq18aazYnNtdrbN6wwRofzC06fxx4huGBfW77P+zcMo/Q1Xv9l/XyFaHd/d/wStb+F9ZuoxJBpF/NGejx2zsD+IFW5PAuuW9us1zY/Yo24VryVIM/g7Cs+813UtSj2XeoXV0nULNMzj9TVGp/ed0P932Ztt4ZEDJ9p1bTYd392fzcf98Aj9ab/Z2jQ+Z52rySspAVbW0Lbh35ZlxWNRT5ZPeQc0VtE3/7U0KxZvsWjSXj7gVk1O4LDA/6Zxhf1Y1BceLNSlQxwzLYw9PKskEK4znHy4z+NY9FHs49Q9rLpoFfWvwr5+Huh/8AXuP5mvkqvrb4U/8AJPtD/wCvcfzNebmHwxPXyr+LL0Otooorwz6kjZQ67SM/WvD/AImfsf8Aw9+Jk73UthJoeoudzXmkssLOf9pCpU/XGeOte50mPauath6WJjyVY3R00MTWwsuejNxfkfn74q/4J2+KtP8AMfQvEWn6vGFBVbqNraQtnkY+dcdP4q8y1z9jz4r6NI4Xww1/Go3ebZXEbqfoCwJ/Kv1QGKQoK+crcOYOo7xvH0Z9RQ4qzCkrSal6r/I/HLUvhT410eGWW+8I67aQxAl5ZtNmVFx1JYrjHvXLfd6jH1r9stiN1VfypklpDIpV4Y2UjBDKCK82fCsH8FT8P+CevDjSqvjpJ+j/AOAfif3x0NLX7EXXwk8EX0jSXHhDQ53Y5ZpNOhYk++Vqv/wpL4f/APQkeHv/AAVwf/EVz/6qz6VF9x0f65x60X9//APx/or9gP8AhSfw+/6Ejw9/4K4P/iKB8E/h+vI8E+Hgf+wXB/8AEUv9VZ/8/V9w/wDXOH/Pl/f/AMA/H7Iq7pOi6jr14tpplhdajdMMiG0haVz/AMBUE1+x2j+B/D3h3J0rQ9O00twfslpHFn/vkCtdbeNekaj8K1jwp/NV/D/gmM+M5fYo/j/wD8j9D/Z7+JPiSV47PwVrAK8k3Vq1sD9DLtB/CvRPDf7C/wAT9a8lry0sNHjk+99sugWT6qgav0w2gdBj8KMfhXoU+GMLH45Nnm1eLsdPSEVH5XPjHwH/AME7dPtZI7jxd4jm1Dby1lpkfkpkN0MjZYgj0Cnnr3r6j8B/DPw18NNNNj4b0i30uA43mJcvIQAMsx+Zj9Sa638KQ17+Gy7DYTWlCz79T5nFZli8b/GqNrt0+4VelLRRXpnmBRRRQAUUUUAFFFFABRRRQAUUUUAFFFFABRRRQAUUUUAFFFFABRRRQAUUUUAFFFFABRRRQAUUUUAFFFFABRRRQAUUUUAFFFFABSN0paKAGtWVrUfyo47cGtaqt9D51s6jrjirpy5ZJnLiqftaMonP0Ui0teqfCBRRRQAUUUUAPb/Ux/U0yn8fZ/fd/T/61MqImtTo/JBRRRVmQUUUUAFFFFABVnTF3Xi+wJqtV/R1/wBIckcAVlUdos7cHHmrxXmbfesnxT/yLep/9e0n/oJrW71leKP+Rb1X/r2k/wDQTXi1v4cvRn3tL+JH1R4/+zr/AMhLWf8ArlH/ADavdPWvC/2df+QlrP8A1yj/AJtXunrXi5D/ALjD5/me1nn+/wA/l+QtfO/xd/5Kpaf9sP8A0Kvoivnf4u/8lUtP+2H/AKFWeef7vD/Eisj/AN5l/hf5H0LD9xfpUlRw/cX6VJX0MPhR8+9wooorQQUUUUAFFFFABRRRQAUUUUAFFFFABRRRQAUUUUAFFFFABRRRQAUUUUAFFFFABRRRQAUUUUAFFFFABRRRQAUUUUAFFFFABRRRQAUUUUAFFFFABRRRQAUUUUAeafH7/kQZf+viP+tfM9fTHx+/5EGX/r4j/rXzPX0GA/hfM+SzT+N8gooor0zxwooooAKKKKACiiigAooooAKKKKACiiigAooooAKKKKACiiigAr0rUPih8SfBukeHbHwh4EPibS20yOVrwJIdspdwU+U44AU/8CrzWvrb4V/8k90P/r3H8zXhZtTlUpRjGTjruj3cp/iS9DwT/hf3xz/6JE3/AH6m/wAaP+F/fHP/AKJG/wD36m/xr6m20ba+U+p1P+fr/A+oPlj/AIX98cv+iRt/36m/xo/4X98cv+iRt/36m/xr6n20baPqdT/n6/wFqfLH/C/vjn/0SN/+/U3+NH/C/vjl/wBEjb/v1N/jX1NRR9Tqf8/X+AHy1/wv/wCOf/RI2/79Tf40f8L/APjn/wBEjb/v1N/jX1Nto20fVKn/AD9f4BZ9z5Y/4X98cv8Aokbf9+pv8aP+F/fHL/okbf8Afqb/ABr6n20baf1Sp/z9l+Aanyz/AML++OX/AESNv+/U3+NJ/wAL++OX/RI2/wC/M3+NfU/40fjS+p1P+f0h69z5Y/4X98cv+iRt/wB+pv8AGj/hf3xy/wCiRt/36m/xr6moo+p1P+fr/AR8s/8AC/fjn/0SJ/8Av1N/jR/wv345/wDRIn/79Tf419T7aNtH1Sp/z9f4f5AfLH/C/vjl/wBEjb/v1N/jS/8AC/vjn/0SNv8Av1N/jX1Nt96Xb70vqdX/AJ+v8Bnyv/wv745f9Ejb/v1N/jR/wv745f8ARI2/79Tf419Ubfejb70fU6v/AD9f4AfLH/C/vjn/ANEjb/v1N/jSf8L++OX/AESNv+/U3+NfVG33o2+9H1Or/wA/X+AHyv8A8L++OX/RI2/79Tf40v8Awv745/8ARI2/79Tf419T7fejb70fU6v/AD9f4AfK/wDwv745f9Ejb/v1N/jR/wAL++OX/RI2/wC/U3+NfVG33o2+9H1Or/z9f4AfK/8Awv745f8ARI2/79Tf40v/AAv745/9Ejb/AL9Tf419T7fejb70fU6v/P1/gB8sf8L++Of/AESJv+/U3+NH/C/vjn/0SJv+/U3+NfU22jbT+qVP+fr/AAA+Wf8Ahf3xz/6JG3/fqb/Gk/4X98cv+iRt/wB+pv8AGvqfb70u33pfU6v/AD9f4AfLH/C/vjn/ANEib/v1N/jR/wAL++Of/RI3/wC/U3+NfU22jbT+p1P+fr/AD5Y/4X98cv8Aokbf9+pv8aP+F/fHL/okbf8Afqb/ABr6n20baPqdT/n6/wABanyx/wAL++OX/RI2/wC/U3+NL/wv745/9Ejb/v1N/jX1Pt96NvvS+p1f+fr/AAGfK/8Awv745f8ARI2/79Tf40f8L++OX/RI2/79Tf419T7aNtP6nU/5+v8AAWp8s/8AC/vjn/0SNv8Av1N/jSf8L++OX/RI2/79Tf419Ubfejb70vqdX/n6/wABnyv/AML++OX/AESNv+/U3+NH/C/fjl/0SN/+/U3+NfVG33o2+9P6nU/5+v8AAR8r/wDC/vjl/wBEjb/v1N/jR/wv745f9Ejb/v1N/jX1Pto20fU6n/P1/gGp8s/8L++Of/RI2/79Tf40f8L++Of/AESNv+/U3+NfU+33o2+9L6nV/wCfr/AZ8r/8L++OX/RI2/79Tf40f8L++OX/AESNv+/U3+NfU+2jbT+p1P8An6/wFqfLH/C/vjl/0SNv+/U3+NH/AAv745f9Ejb/AL9Tf419Ubfejb70vqdX/n6/wGfK/wDwv745f9Ejb/v1N/jS/wDC/vjn/wBEjb/v1N/jX1Pt96NvvR9Tq/8AP1/gB8r/APC/vjl/0SNv+/U3+NH/AAv745f9Ejb/AL9Tf419Ubfejb70fU6v/P1/gB8sf8L++Of/AESNv+/U3+NJ/wAL++OX/RI2/wC/U3+NfVG33o2+9H1Or/z9f4AfK/8Awv745f8ARI2/79Tf40h+P3xzYf8AJI2/79Tf419UYpKf1Sov+Xr/AAFY46xunvtPtLqW1mspLiFJjbXCbZIiyg7GHYjOCParNaesw52SAex/GsyvpqMrwR8TjKXsazj0CiiitzhCiiigByfdcD0H6H/69NqS3jLs5HQKc1HWcd2jonF8kZMKKKK0OcKKKKACiiigArV0Nflkb3xWVW5pMey1X1b5q5q792x7GVx5q9+yL3esrxR/yLeq/wDXtJ/6Ca1e9ZXij/kW9V/69pP/AEE15Nb+HL0Z9jS/iR9UeP8A7On/ACEtZ/65x/zavdR3rwr9nX/kJaz/ANco/wCbV7qO9eJkP+4x+Z7ee/7/AD+X5BXzv8Xf+SqWn/bD/wBCr6Ir53+Lv/JVLT/th/6FUZ5/u8P8SKyP/eZf4X+R9Cw/cX6VJUcP3F+lSV9DD4UfPvcKKKK0EFFFFABRRRQAUUUUAFFFFABRRRQAUUUUAFFFFABRRRQAUUUUAFFFFABRRRQAUUUUAFFFFABRRRQAUUUUAFFFFABRRRQAUUUUAFFFFABRRRQAUUUUAFFFFAHmnx+/5EGX/r4j/rXzPX0x8fv+RBl/6+I/618z19BgP4XzPks0/jfIKKKK9M8cKKKKACiiigAooooAKKKKACiiigAooooAKKKKACiiigAooooAK+tvhX/yT3Q/+vcfzNfJNeo3P7UXhb4NaL4d0HWtP1i6u5NNju1ksIYnj2M7qAS0qnOUPb0rxc0qRo0oym7K57uU/wASXofSNHPrXzL/AMN+fD//AKA3iT/wGt//AI/R/wAN+fD/AP6A3iT/AMBrf/4/Xy317D/zH059Nc+tHPrXzL/w358P/wDoDeJP/Aa3/wDj9H/Dfnw//wCgN4k/8Brf/wCP0/r1D+ZAfTXPrRz618y/8N+fD/8A6A3iT/wGt/8A4/R/w358P/8AoDeJP/Aa3/8Aj9H16h/MgPprn1o59a+Zf+G/Ph//ANAbxJ/4DW//AMfo/wCG/Ph//wBAbxJ/4DW//wAfo+vUP5kB9Nc+tHPrXzL/AMN+fD//AKA3iT/wGt//AI/R/wAN+fD/AP6A3iT/AMBrf/4/R9eofzID6a59aOfWvmX/AIb8+H//AEBvEn/gNb//AB+j/hvz4f8A/QG8Sf8AgNb/APx+j69Q/mQH01z60c+tfMv/AA358P8A/oDeJP8AwGt//j9H/Dfnw/8A+gN4k/8AAa3/APj9H16h/MgPprn1o59a+Zf+G/Ph/wD9AbxJ/wCA1v8A/H6P+G/Ph/8A9AbxJ/4DW/8A8fo+vUP5kB9Nc+tHPrXzL/w358P/APoDeJP/AAGt/wD4/R/w358P/wDoDeJP/Aa3/wDj9H16h/MgPprn1o59a+Zf+G/Ph/8A9AbxJ/4DW/8A8fo/4b8+H/8A0BvEn/gNb/8Ax+j69Q/mQH01z60c+tfMv/Dfnw//AOgN4k/8Brf/AOP0f8N+fD//AKA3iT/wGt//AI/R9eofzID6a59aOfWvmX/hvz4f/wDQG8Sf+A1v/wDH6P8Ahvz4f/8AQG8Sf+A1v/8AH6Pr1D+ZAfTXPrRz618y/wDDfnw//wCgN4k/8Brf/wCP0f8ADfnw/wD+gN4k/wDAa3/+P0fXqH8yA+mufWjn1r5l/wCG/Ph//wBAbxJ/4DW//wAfo/4b8+H/AP0BvEn/AIDW/wD8fo+vUP5kB9Nc+tHPrXzL/wAN+fD/AP6A3iT/AMBrf/4/R/w358P/APoDeJP/AAGt/wD4/R9eofzID6a59aOfWvmX/hvz4f8A/QG8Sf8AgNb/APx+j/hvz4f/APQG8Sf+A1v/APH6Pr1D+ZAfTXPrRz618y/8N+fD/wD6A3iT/wABrf8A+P0f8N+fD/8A6A3iT/wGt/8A4/R9eofzID6a59aOfWvmX/hvz4f/APQG8Sf+A1v/APH6P+G/Ph//ANAbxJ/4DW//AMfo+vUP5kB9Nc+tHPrXzL/w358P/wDoDeJP/Aa3/wDj9H/Dfnw//wCgN4k/8Brf/wCP0fXqH8yA+mufWjn1r5l/4b8+H/8A0BvEn/gNb/8Ax+j/AIb8+H//AEBvEn/gNb//AB+j69Q/mQH01z60c+tfMv8Aw358P/8AoDeJP/Aa3/8Aj9H/AA358P8A/oDeJP8AwGt//j9H16h/MgPprn1o59a+Zf8Ahvz4f/8AQG8Sf+A1v/8AH6P+G/Ph/wD9AbxJ/wCA1v8A/H6Pr1D+ZAfTXPrRz618y/8ADfnw/wD+gN4k/wDAa3/+P0f8N+fD/wD6A3iT/wABrf8A+P0fXqH8yA+mufWjn1r5l/4b8+H/AP0BvEn/AIDW/wD8fo/4b8+H/wD0BvEn/gNb/wDx+j69Q/mQH01z60c+tfMv/Dfnw/8A+gN4k/8AAa3/APj9H/Dfnw//AOgN4k/8Brf/AOP0fXqH8yA+mufWjn1r5l/4b8+H/wD0BvEn/gNb/wDx+j/hvz4f/wDQG8Sf+A1v/wDH6Pr1D+ZAfTXPrRz618y/8N+fD/8A6A3iT/wGt/8A4/R/w358P/8AoDeJP/Aa3/8Aj9H16h/MgPprn1o59a+Zf+G/Ph//ANAbxJ/4DW//AMfo/wCG/Ph//wBAbxJ/4DW//wAfo+vUP5kB9Nc+tHPrXzL/AMN+fD//AKA3iT/wGt//AI/R/wAN+fD/AP6A3iT/AMBrf/4/R9eofzID6a59aP1r5l/4b8+H/wD0BvEn/gNb/wDx+j/hvz4f/wDQG8Sf+A1v/wDH6Pr1D+ZAfSlxEJo2QjjFc3IpjkZTyVOK8P8A+G/vh/8A9AbxL/4DW/8A8frpvhx+0h4R+M2sXGnaPFqFjqEMXm+TqUccZmXODs2O2SO/Tr9cdeHx1GU1BS3PIzHD+1hzx3R6VRRRXuHyQUUVZ0+1N1Pkj92vX39qiUlFXZvSpyrTUI9TR0628uzOR8z8msZ12SOp6g4rp+AvHFYGpR+XeSY6NzXLRlebue5mFBU6EOX7OhWooortPnAooooAKKKKACuktU8uBF6YAFc9boXnQYz8wrpV+XArixD2R9LlMNJTHd6yvFH/ACLeq/8AXtJ/6Ca1e9ZXij/kW9V/69pP/QTXm1v4cvRn0lL+JH1R4/8As6f8hLWf+ucf82r3Ud68K/Z1/wCQlrP/AFyj/m1e6jvXiZD/ALjH5nt57/v8/l+QV87/ABd/5Kpaf9sP/Qq+iK+d/i7/AMlUtP8Ath/6FUZ5/u8P8SKyP/eZf4X+R9Cw/cX6VJUcP3F+lSV9DD4UfPvcKKKK0EFFFFABRRRQAUUUUAFFFFABRRRQAUUUUAFFFFABRRRQAUUUUAFFFFABRRRQAUUUUAFFFFABRRRQAUUUUAFFFFABRRRQAUUUUAFFFFABRRRQAUUUUAFFFFAHmnx+/wCRBl/6+I/618z19MfH7/kQZf8Ar4j/AK18z19BgP4XzPks0/jfIKKKK9M8cKKKKACiiigC9oeltrWsWOnpIInup0hDkZCljjOPxr0G4+Den2t4bKXxlpkd4rBDbvtD7j0GC+c1x/gH/kd9A/6/of8A0MV6D43+EPiDxD421K9tooUtJ5QyyySgYXABJHXsa4K1RxqKPNyqx6dCkpUnLl5nex5v4o8K33g/VWsb9QH2h0kQ5R1PAIPpXX2/whgXRdN1DUfE2n6UL6FZoo7jC5BAOASwyRkZx61H8YPE1jrFxo+m2U63Y0u3MUt2hysjEKDg9wNnX3rsfFXgLVfG3gnwX/ZvkH7NYrv859v3o48Y45+6aylWnywcny3NY0KfPNJc1tjznxh8O7nwxp0Op297b6vpUh2C7tSCA3ocZ4461jeGvC+o+LdSWx02ISS43MzHaqL6k+lel+JtFvPh/wDCObRryNrme/uRI8kALRQAFDgtjqSo/P2ql4SaTw18Hdd1a2zFfX04t1mU8rGMD8Dy/wCY9KuNaXs7rV3smTLDw9orqytdort8H9PjuPszeM9KW7zt8gld27+7jf1rhfEGg3XhnWLjTbwxmeEjLRtuVgQCCPwNZu2nySPM5eRi7njLHJrphGcX70ro4qk6Ul7sbfMbRRRXQcwUUUUAFFFFABX1f8MbG3uPh/oTSwRyN9mAy6Anqa+UK+tvhT/yT3Q/+vcfzNePmSUqaTXU9zKf4svQ6D+ybP8A59IP+/Yo/sm0/wCfSD/v2Ku0V897KH8qPqSn/ZNn/wA+sP8A37FH9k2f/PrD/wB+xVyij2cP5QKf9k2f/PrD/wB+xR/ZNn/z6w/9+xVyij2cP5QKf9k2f/PrD/37FH9k2f8Az6w/9+xVyij2cP5QKf8AZNn/AM+sP/fsUf2TZ/8APrD/AN+xVyij2cP5QKf9k2f/AD6w/wDfsUf2TZ/8+sP/AH7FXKKPZw/lAp/2TZ/8+sP/AH7FH9k2f/PrD/37FXKKPZw/lAp/2TZ/8+sP/fsUf2TZ/wDPrD/37FXKKPZw/lAp/wBk2f8Az6w/9+xR/ZNn/wA+sP8A37FXKKPZw/lAp/2TZ/8APrD/AN+xR/ZNn/z6w/8AfsVcoo9nD+UCn/ZNn/z6w/8AfsUf2TZ/8+sP/fsVcoo9nD+UCn/ZNn/z6w/9+xR/ZNn/AM+sP/fsVcoo9nD+UCn/AGTZ/wDPrD/37FH9k2f/AD6w/wDfsVcoo9nD+UCn/ZNn/wA+sP8A37FH9k2f/PrD/wB+xVyij2cP5QKf9k2f/PrD/wB+xR/ZNn/z6w/9+xVyij2cP5QKf9k2f/PrD/37FH9k2f8Az6w/9+xVyij2cP5QKf8AZNn/AM+sP/fsUf2TZ/8APrD/AN+xVyij2cP5QKf9k2f/AD6w/wDfsUf2TZ/8+sP/AH7FXKKPZw/lAp/2TZ/8+sP/AH7FH9k2f/PrD/37FXKKPZw/lAp/2TZ/8+sP/fsUf2TZ/wDPrD/37FXKKPZw/lAp/wBk2f8Az6w/9+xR/ZNn/wA+sP8A37FXKKPZw/lAp/2TZ/8APrD/AN+xR/ZNn/z6w/8AfsVcoo9nD+UCn/ZNn/z6w/8AfsUf2TZ/8+sP/fsVcoo9nD+UCn/ZNn/z6w/9+xR/ZNn/AM+sP/fsVcoo9nD+UCn/AGTZ/wDPrD/37FH9k2f/AD6w/wDfsVcoo9nD+UCn/ZNn/wA+sP8A37FH9k2f/PrD/wB+xVyij2cP5QKf9k2f/PrD/wB+xR/ZNn/z6w/9+xVyij2cP5QKf9k2f/PrD/37FH9k2f8Az6w/9+xVyij2cP5QKf8AZNn/AM+sP/fsUf2TZ/8APrD/AN+xVyij2cP5QKf9k2f/AD6w/wDfsUf2TZ/8+sH/AH7FXKKPZw/lAp/2TZ/8+sH/AH7FLHp1tE25IIkb1VADVuimoRWqQGDe6a0LF4xuX09KpV1BUYqP7PGTkopP0ruhWaVmjw6+WRqS5oOxg2tnJdMAvyr3at63t0t4wiDgVIqhegpf51nOo5nbhcHDDrTV9xR0rG1pdsiNjqMVs/w1n6tEZLUkdV5pU3aSKxlP2lCSMWiiivUPhwooooAKKKKALmlR7rjd/dFbq1maNHtjdyOWPFafrXm1neZ9nl9PkoR8xe9ZXij/AJFvVf8Ar2k/9BNanesvxR/yLeq/9e0n/oJrirfw5ejPWpfxI+qPH/2dP+QlrP8A1zj/AJtXuo714V+zp/yEtZ/65x/zavdR3rxMh/3GPzPbz3/f5/L8gr53+Lv/ACVS0/7Yf+hV9EV87/F3/kqlp/2w/wDQqjPP93h/iRWR/wC8y/wv8j6Fh+4v0qSo4fuL9Kkr6GHwo+fe4UUUVoIKKKKACiiigAooooAKKKKACiiigAooooAKKKKACiiigAooooAKKKKACiiigAooooAKKKKACiiigAooooAKKKKACiiigAooooAKKKKACiiigAooooAKKKKAPNPj9/yIMv8A18R/1r5nr6Y+P3/Igy/9fEf9a+Z6+gwH8L5nyWafxvkFFFFemeOFFFFABRRRQBv+Af8AkeNA/wCv6H/0MV0fjnxXqnh74oapcWV7NF5NypEW87GG1cgrnBBrhLG+n069gu7aTyriB1kjcAHawOQcH3p+p6pdazqE97ey+fczNukkwBk4x2+lcsqXNU5ntax1xrclPkjve53Xxi0OBb6w8Q6egXTdWhEp29Flxk+wyCD9Q1a/xM0q+1TwT4E+x2dxd7LL5vIiZ9uY4sZwOOn6V5xdeJdSvtFt9Jnu2l063bdFCyqdh56HGe54z3rW0/4o+KNMsoLS11d47eFBHGnlRttUcAZKk8CsfY1Eo2s3E39vScpNprmR3Pw8tL/R/AXiY+IYp4NEMBWKC6BU7yDnardMkjHvVH4cqni74da74VWRRqKyfarVZCMN93gfipz/AL9cHr3jHWvFGwapqM12icrG2FQH12gAZ561mWd5cafcJcWk8ltcIcrLC5Vl+hFH1eTi23q3cPrUYyikm4pW131NVvBPiCO6+ztot9527Z/qGIz9cY/HNU9c0O88O6g1jfxeRcqqsU3A4yMjp3roj8XvFzKVOsyYIwf3UYP/AKDXJ3V1NfXEk9xNJPPIdzySMWZj6knrXTD2t/fsctT2KX7u9/Miooorc5wooooAKKKKACvrb4U/8k90P/r3H8zXyTX1t8Kf+Se6H/17j+Zrycw+Bep7mU/xZeh1tFFFeEfUhRRRQAUUUUAFFFFABRRRQAUUUUAFFFFABRRRQAUUUUAFFFFABRRRQAUUUUAFFFFABRRRQAUUUUAFFFFABRRRQAUUUUAFFFFABRRRQAUUUUAFFFFABRRRQAUUUUAFFFFABRRRQAUUUUAFFFFABRRRQAUUUUAFFFFABRRRQAUUUUAI1MmTfGynoRipKRulAmrqxyzKVYqf4Tikq3qkPlXJYcBqqV6kJc0Uz4PEU3SqOHYKKKK0OcKP50VNYw+dcouMjqfwqJOyua0oOpNRXU27OHybdF745qxRgUo9K8u99T72MVGKiugd6yvFH/It6r/17Sf+gmtXvWV4o/5FvVf+vaT/ANBNc9b+HL0ZvS/iR9UeP/s6/wDIS1n/AK5R/wA2r3Ud68K/Z0/5CWs/9c4/5tXuo714mQ/7jH5nt57/AL/P5fkFfO/xd/5Kpaf9sP8A0Kvoivnf4u/8lUtP+2H/AKFUZ5/u8P8AEisj/wB5l/hf5H0LD9xfpUlRw/cX6VJX0MPhR8+9wooorQQUUUUAFFFFABRRRQAUUUUAFFFFABRRRQAUUUUAFFFFABRRRQAUUUUAFFFFABRRRQAUUUUAFFFFABRRRQAUUUUAFFFFABRRRQAUUUUAFFFFABRRRQAUUUUAeafH7/kQZf8Ar4j/AK18z19MfH7/AJEGX/r4j/rXzPX0GA/hfM+SzT+N8gooor0zxwooooAKKKKACiiigAooooAKKKKACiiigAooooAKKKKACiiigAr62+FP/JPdD/69x/M18k19bfCn/knuh/8AXuP5mvJzD4F6nuZT/Fl6HW0UUV4R9SFFFFABRRRQAUUUUAFFFFABRRRQAUUUUAFFFFABRRRQAUUUUAFFFFABRRRQAUUUUAFFFFABRRRQAUUUUAFFFFABRRRQAUUUUAFFFFABRRRQAUUUUAFFFFABRRRQAUUUUAFFFFABRRRQAUUUUAFFFFABRRRQAUUUUAFFFFABRRRQAUjdKWkbpQBn6rb+Zb7hyU5rFrp2XOAeneuevbf7LMw/hPIrsoS+yfOZpQ1VVfMhooorsPnRMgcVr6Pb7FaQ/wAXArLhga4mVF79TXSRxiKMKo+UDiuWvLTlR7uWUHKbqvZbEi9KWiiuE+oE71leKP8AkW9V/wCvaT/0E1q96yvFH/It6r/17Sf+gmsK38OXozSl/Ej6o8f/AGdP+QlrP/XOP+bV7qO9eFfs6/8AIS1n/rlH/Nq91HevEyH/AHGPzPbz3/f5/L8gr53+Lv8AyVS0/wC2H/oVfRFfO/xd/wCSqWn/AGw/9CqM8/3eH+JFZH/vMv8AC/yPoWH7i/SpKjh+4v0qSvoYfCj597hRRRWggooooAKKKKACiiigAooooAKKKKACiiigAooooAKKKKACiiigAooooAKKKKACiiigAooooAKKKKACiiigAooooAKKKKACiiigAooooAKKKKACiiigAooooA80+P3/ACIMv/XxH/Wvmevpj4/f8iDL/wBfEf8AWvmevoMB/C+Z8lmn8b5BRRRXpnjhRRRQAUUUUAFFFFABRRRQAUUUUAFFFFABRRRQAUUUUAFFFFABX1t8Kf8Aknuh/wDXuP5mvkmvrb4U/wDJPdD/AOvcfzNeTmHwL1Pcyn+LL0Otooorwj6kKKKKACiiigAooooAKKKKACiiigAooooAKKKKACiiigAooooAKKKKACiikagBaTIrjNM+IEWoePPEfht7b7ONHt4J3vHlG1xIpbpgYx65rej8TaTNqCWEep2cl86eYtus6mRl/vBc5xWXtIvZlcrNWjIrlPG3jqx8K6Pqci3lm+q21nLdRWMsyh5Ni5+7nOOR+dN8NeOrW98B6L4i1i5tNKW+sYbuQyyhI0LoGIBY9Bml7SPNy3DldrnWcUcVRXWbFreG4W9gNvMwSOUSja5PQA55NRab4i0zWJp4rDULW8kgYpKlvMrlGHYgHjrVcy2uKzNTFGBWRa+KNHvtTm0231Wzn1CHHmWsdwrSpnOMqDkdD+VJe+LNF00D7Xq1lbZm8gebcIv7zONnJ654xT5o73CzNcEUuRWXqmv6bocMc1/qFtZQyMER7iZUDMTgAEnkkkVzHgH4if8ACWR+JprwW1nbaVqslhHMsnyOiojByTxk76h1Ixai3qxqLaud1xS4FZOmeJtJ1qGabT9TtL6KEkSvbzK4QjOckHjGD+VIvifSGvobIapZm8mTzI7fz13upxyBnJHI/Oq5o9xWZr/hQM1xmkfFHQ9a8cap4Ut5HOo6fGjvIxTypNyg7UIbJIB5GBjBrqLrULexVWuJ44FY4VpHCgnBOBn2FEZxkm0x8rXQt4FGKxpPFuiw6Umpvq1imnOCy3bXCCJgOCQ2cHFWW1zT10/+0GvrZbDbu+0mVfLx67s4o5o9xWZfHNHFec6P8VF1r4pX3hu3+xzaRb6SupJqEMu7fl1BGQdu3DZzXcf2xYrbwzm9txBM2yKXzF2u3PAOeTwenpSjUjJXTG4tbl/IoyKyNT8T6To4Y3+qWdmqusbefOqYZsbQcnqcjA75FSal4g03R7EXt/qFtZWhxi4nlVEOenJOKfMu4rPsae6jIrzfwL8VH8VeMPGumXCWtvYaDNDHDdJJxKrhzuYk4/hHT1rsdL8UaRrizvp2q2d8kDFZWt51fYR1DYPGKUakZapjcWtzXzR+FZP/AAlWj/bILT+1LM3Vwu6GD7Qm+QccqM89R+dYcXxS0STx9ceEfOZNSgt1uGkdkETbmChAd2S+T0xQ6kI7sOVvodlijFcJ8VviRJ8NdF028i0ptXnv9Qj06K3WcREu6uVO4gjqmPx61Z8I+Lde1Nb2TxL4Y/4RSCAKY5Z9RhuBJnOfuH5ccdfWp9rHm5Oocrtc7IYpM+lVJNQt45oYmnjEswJiQuMvgZO0d+K4/wCHPxEbxhYarcagttYG11e402FQ+PM8tsA8n7x9BT9pHmUb7hyu1zu+KXiqE2q2VvLJHLdwRyxp5jo0gBVem4jPA96jt/EGmXV9LYw6jazXsShpLeOZTIg9SoOQOKvmV7XFZmlto21RGtae0AnF7bmHf5YkEq7S393OevtVqW4SGJpZXWONRlmY4AH1p8yCxLtFG0Vlad4k0rVoJZ7HU7S8hhZllkgnV1QgkEEg8YwevpSaV4o0jxA0y6bqdnftCxSRbadZCjDqDg8EUuaPcLM1eKOKyZvFGkQXFvDJqlmk1wxSGNrhQ0jDOQozyeD+VSah4g0zSY55L3ULW0jgUNK00qoEB6E5PHQ0uePcLM0uKXiqLaxYx2P21ry3Wyxn7QZV8vHruzio9N1/Ttasxeaff217aEbvPt5VdMYz1B9KfMu4WZpUVy2s/EjQNI0LU9UGo217b6cjNOlpPG7gj+HG4DPsSKw9U+JV3qHhPQNb8KWVvqY1G5t1mhvLqOFoIZFLEnL43j5RsBJ5PBxWbrQWlx8sux6JxS7RWRq3ijSNBaBNT1Sz0+SdgkS3M6xl2PQDJGTVmbV7K3SNpbuCNZASjNIoDADJI554q+aPcVmXtopOKzbHxBpmpWLXlnqNrdWaEhriKZWRcdcsDgYp2j69p2vQNNpl9bahCrFGktpVkAYHBBIPWmpJ7MLM0PSqt9aC6j2/xDkGreaRq0Ts7oznCNSLjLZnMTRvC+xl2mkVWkbao3H2rpJIEmX51BHvSR20cf3FUfQV1e302PAeU+/pLQr6bY/Zkywy7dfarlKtL1rlbcndnvU6caUVCOyFooopGgnesrxR/wAi3qv/AF7Sf+gmtXvWV4o/5FvVf+vaT/0E1hW/hy9GaUv4kfVHj/7On/IS1n/rnH/Nq90WvC/2df8AkJaz/wBco/5tXui14mQ/7jH5nt57/v8AP5fkLXzv8Xf+SqWn/bD/ANCr6Ir53+Lv/JVLT/t3/wDQqjPP93h/iRWR/wC8y/wv8j6Fh+4v0qSo4fuL9Kkr6GHwo+fe4UUUVoIKKKKACiiigAooooAKKKKACiiigAooooAKKKKACiiigAooooAKKKKACiiigAooooAKKKKACiiigAooooAKKKKACiiigAooooAKKKKACiiigAooooAKKKKAPNPj9/yIMv8A18R/1r5nr6Y+P3/Igyf9fMf9a+Z6+gwH8L5nyWafxvkFFFFemeOFFFFABRRRQAUUUUAFFFFABRRRQAUUUUAFFFFABRRRQAUUUUAFfW3wp/5J7of/AF7j+Zr5Jr62+FP/ACT3Q/8Ar3H8zXk5h8C9T3Mp/iy9DraKKK8I+pCiiigAooooAKKKKACiiigAooooAKKKKACiiigAooooAKKKKACiikagBN1NNZviTUp9J0W7vLa2a8nhjLpCvVyO1eHf8L48T9rOx/78v/8AF15eLzCjgmo1L3fZXPSwmX18Ym6VtO7sGvr/AMV18byRwfDsP/pM9cfJ4W0rw54Z+B2qabYx2epX2qWP2q8jXE0wfaWDN1IOTx0xwOK6pvjZr7SSOdN04vINrt9mfLD0Pzcikb4za4ywodK00pCQYlNs5EZHQr83FeA80wkm3d/c+9z11k2MXRfejhtcvfCdm/xUsvFln5/jK4vrhtPf7O8kph2Zi8twMKByTyOPUDAtaxdSafffB+4vJdPtdM/4RyJIbjW4JJrFJzGMllVlw20gZJwMjPqOsl+MWszXH2iTR9Lkn2GPzGtWLbT/AA53Zx7UTfGPWri1FrNpGmS2oAAhe1YoAOg27scVl/aWFerb+5976l/2Pi9NF/4EjgvG2n2OkfBO6+xazZ6zZP4uWVv7KikjggYxEtHFuJJUcYKkjnqTmtnTbjStZ+Kepz/C6HyrKPwncxv/AGfC1v8A6X+8CZDBctkxYPr3pnxA8Val4/0Cz0m4trWwtbW6S7RbWBlG5AwAwWwB8x6V09n8adZtPN+y6bpkJkbfJ5UDLuY9zhuT71P9q4Xmtdrbox/2PjHG/KvvRxfwtsbbWtL8Cwt4h8O6ZqdjqYkWCGzk/tV5Nz745W3HhgeTtA4Xnir+n+D9G1rRvjxqV/psF3f2eo6ibaaZNzQkCRgUz0OeciujX4vavHeG8TRdJW7PW4FowkPGPvbs1Kvxp11fOA0rTcTEmUfZn+fPXd83P41pHMsJazb+59rEvJ8Ze6S/8CRzM2paTZ6x8MNQ8dlbnws3hVVia8iM8f2w43llAJzsKckfyqXwv4g0nw38H/H99Z6DBqekP4iZbay1CJhAkbpDsd0I3bBkHGM4x0reuPjFrN1bpBPo2lTQx4KRyWjMq46YBbint8ZtdZJkOl6aY5iTKv2d8OSMHcN3PbrT/tPDJ3Tf/gL7WD+x8Xaziv8AwJHLeCJi3xV8ZGOfRriCTwncEv4diaOydgY8bcs25hkgkE9/es+08J6Vpfwh+FviC1so4tbm162EmoAfvmXzXGC3cAIuB0GK7W3+MOsWqqsOj6XEqoYwsdqygITkrw3TPan/APC5dc8mKH+ydM8qIho4/sr7UI6EDdwR7VP9pYS1m39z73D+x8ZfZf8AgSI/C9p4b8PftVeJLS5sbaznuIIG0pRbcecYQ0rIQMKSN+TxnnvXW/tEaPba8ngawvEMlpP4ihjlUHG5TFJkE+h6Vy0nxo1ya6juZNK0yS5jGEma1cuv0O7IqSX43+IZ2jMmm6fIY23Lvt3O1vUfNwa2/tbCKLjd2bvszP8AsXGcylZaf3kUPi1p9n4N+KPg63hh0jR/D8djNHZ/2pau+nQzs5LEqjKAxBPJOBuyR0I4zXdNstH8F6XKNYtdd8JL4y87VhpsEi2kCERlolViSyAbiCu4c9Sa7+8+NGvahCYbrS9NuYjyY5rZ3U/gWpv/AAubWxZ/ZP7J0z7Ljb5H2V9mPTbuxis5ZnhJNtN6+TNFk+MSSsv/AAJGJ4NXQNc+KXjY+CrTZpV54WmW2WGBoY5pCyqTGrAcbgRxgZBrlLfxpperfCT4b+GbKWafWNL16C4voVgfFunmyqCzEY5MqAYPfFejQ/GbXLVlaHSdMiZU8pSlq6kJ12jDcDPakX4w6yjSsujaWDK/mSEWrDew5DH5uT70v7Tw1rJvr0fV3D+x8X1iv/AkWJPA+ieKviZ8W5tX02HUHt4LcQGdd3l5tFyy5+63A+Yc8CuUutQ0mx0P4KX/AIuzN4ajsLj7Q00TSwiXy08veoBz3xxng11C/G3xAjyuNN04PL/rGFu4L8YGTu5qGb4wazcWaWsuj6XLbLjbA1qxQY6YXdiiWZ4R7N/c/UX9j4zql/4EjjPCPiTQ/D+m/GLVNH0CPV/D73Fj9n0+eFlhMbNKAzIRkID82MdB2rV8F3MVx8UvEDW9x4fuEbwnc728NQvHbEhkwDlmBYA9jx0rfT42ayRMqabpZEoxIFgb5hjGD83IxSW/xh1izUCDR9LgCqUAjtWXCk5K8N0z2qFmmFlZpvTyZbybGRveK1/vI82/4RrTtN/Zz8FeJLWyji1+TWwG1BQfO2rNMqgN1AAjTgccZ6mvS9Rt/C3h39qSZtbsbSAahYW72Bktd4kvGmADrhTh8g/McdOtJ/wuPWvs6Qf2Rpfkxncsf2VtqnrkDdwadN8Z9cuZ4pZtK02WWE5jkktXZkPqCW4rWOaYNWs3pbo+hP8AY+Md9F1+0ups/taPCvgvwy1xcy2duviK1MtzBkSRL5c2XXg8gcjg9Kw9S1Tw9r3wX8fWPhjxbrHjGaO0E8x1aR5JIVBz8paNOMKx4z0qa6+NniC8j8q40zTbiPOdstu7D8i1R2/xk1qzV1t9I0yAPw3lWrLu+uGrSeb4WU3K71VtmRHJcZZKy0f8yKtp4/0Xx98WPhQdEuJbyPT4bqK6k8h0SORrY4QlgOfkbp6Vnjw/da18HfGt5px2aro/im71W1kwCUaKQMSM8fd3dc/Q1sW3xh1izVFt9H0uAIxdBHaMoVj1Iw3BPrUOq/FzxDqWi3+nQ2tnYC8jeNpreB1dS4ILD5vvc9fWsf7Uwtm2236PtYr+xsX0S/8AAkZVvff8LC+HnxR+IckBtxqVkthZxvtZo4okG7DDsznOP9kV0Efg/R/CPxM+Ek2k2EVi91bXIupo+Gn/ANFZsyH+I55ycmsPwV4+1TwP4Ts/D1pYWdxY26sD9ogZmkLEsxb5sckntW4/xs1+V4mfTNPZoshGNu+VyMHHzccURzTC2Tle/o973G8nxl7JK3qjgdBktLH4mwa5LHcRfDS48SyLaxzECBb0JgT4K48vcSAwPBQZPy17n+0t5/8Awp3WDCJigkgM4t87vK85d/Tttzn2rhm+MWstbrbnSNLNupyIjatsBz1A3Yqy3x18SspU2NiVxggwSY/9DrWGbYWEJRu9fJkyybGOSfKtPNGD4+17whr3w11sfDu3h+z272R11rGykhLWYkbKj5RkggEkdE3ZOK0tDufDWtfGzwZP8Po7cWNrYXJ1ZrCExIImjAiWQ4GW3Y+Xrn6VLa/GXW9PhMNrpOmW0ROTHDauqn8A1NsfjHrWmq62ekaXahzuYQ2rJk+pw3NZ/wBqYZtNt9Oj6dh/2Li7NWX/AIEjiNY8GaN/woLxNrzadGdcTWZyl6w/fR4uSAFPVRjsMDJJrvZPDOl+Lv2otasdZsodSs08PxziC4Xcm8NEoYjoSA7Yz0zUR+M2uG2a3Olaabdjlo/sz7SSckkbvWlPxx11LgzGw0xLhl2mTyHDFfTO7OKn+1cFG127adO3/DlLJsdLZLr1R5Sk2or8H/BkhkX+wrPxNKLs3UbS20Sh0KeagOWTmTIHqR1IrsNS0mf/AIRX4pan4f8AEmnapcXVpbG5sfDNvJHBCdy7nU5YEmNZN2GPVs46V0qfGbXI7d4F0rTVt3zuiFu4U565G7FFn8Zdb02IxWek6ZaxE52QWroM+uA1CzLCLq9uzB5RjP5V96MvT734b+KPhdqOn+H9MtbjxBa+GmkumSxZGTYIy29ioDN5mGBGfuscjvh6rfeGr74I/D9fD8duk8GvabHqfkW5jJuRbvvLkgbm/wBrn612Nn8ZtcsQ4ttK0238xtz+Vauu4+pw3JqKP4vatBD5Mei6Ske/zNi2jAbv72N3X3q3mmFlq29rfCT/AGNi+y3/AJkVbzUPCuk/Fb4iH4jRW3nzRxnTWvrdnje12YAiyMZ+6Dt6sG7g1j+H/DL6povwO0vxJavcRzXF8zW90Tlotu+IN7bQvyntwfSukvPjDrGoNG11o+l3LRnKNNasxX3GW4/Cpn+N3iGSSN307TneM5Rmt3JU9Mg7uOKX9qYRvVu3o+99R/2PjOiX/gSOdXw9okd98bPD81+nhjQvO06OKSGMiG3dt2PkXopbaG6DHXivR/gH4nl1a88RaS1po8y6W8EQ1vQotltejyxjuQWXHODjngCuXb40a6/n7tJ0xvPGJc2z/OPRvm5/Gls/jTr2nQiG00vTbaIHPlw2zov5Bqunm2FpzUk39zIlkuMkmml/4Ej6M49aMivnr/he/if/AJ87L/vzJ/8AF0f8L38T/wDPnZf9+ZP/AIuu7+3cJ5/czH+wcZ2X3o+heKOK+ev+F7+J/wDnzsv+/Mn/AMXR/wAL38T/APPnZf8AfmT/AOLo/t7Cef3MP7BxnZfej6G/Gj8a+ef+F8eJ/wDnzsv+/L//ABdH/C+PE/8Az52X/fl//i6P7ewnn9zD+wcZ2X3o+hePWjj1r53b49eJU+9bWK/WF/8A4unL8ePEzci0sT/2xf8A+Lqf9YMHe139zK/sDG9l96PoWsvxR/yLeqf9e0n/AKAa8P8A+F7+J8Y+yWX/AH5k/wDi6r33xs8RX1jPbS2dmsUsbRsVicEAjBx81TVz3Cyg0r6rsx08ixkZJtLfujZ/Z1/5CWsf9c4/5tXulfJ3gvxtqPgua6fTooZXmVVcSozYAzjoR611f/C9vE//AD52f/fmT/4uvLynNsNh8JGnO91fp5nqZtlGJxGLlUhazt1XY+heeDjpXz18Xv8AkqVp9Lf/ANCpf+F7+J/+fSz/AO/Mn/xdcd4g8U6h4k15NVu4Y1uV2ALGjBPlORwSf50s0zXD4qlGNO91JPZ9B5XlOIw1Zzq2tytbrqfWcXMad+Kf3r55X47+JkUAWdlj/rjJ/wDF1v8AgT4t6/4i8SWthc2FubeUne8MbqyADOcliMZ4/Gvco5zhqso043u9NmeFVybFUYyqSSsvNHtNFJS19CeEFFFFABRRRQAUUUUAFFFFABRRRQAUUUUAFFFFABRRRQAUUUUAFFFFABRRRQAUUUUAFFFFABRRRQAUUUUAFFFFABRRRQAUUUUAFFFFABRRRQAUUUUAFFFI3SgDzX4+/wDJP5P+vmP+Zr5nr7E8Y+F7fxd4futLuXaNJgCJF6qwIIP5gV8zeL/hrrfg6ZvtFs1zZ5O27t1LIRnjd/dPTg/hmvawNWEY8jep8zmdGbn7RLSxylFFFeweAFFFFMAooooAKKKKACiiigAooooAKKKKACiiigAooooAKKKVVLMAoJJ6DHJpAJX1r8K/+Se6H/17j+ZrwXwT8IdZ8WTRzTwvp+mdWmmXDOv+wvU/Xp9elfTOk6bBoumWtjbjbBbxrEg68AYFeJjqsZpQi9T6TK6M4OU5KyZfoooryD6EKKKKACiiigAooooAKKKKACiiigAooooAKKKKACiiigAooooAKRulLRQA1l3VH9mj/uLU1JtFTyp7juRfZo/7i0fZo/7i1LtFG0VPJHsF2RfZY/7i0fZY/wC4tS7RRtFHJHsF2cz4/gRfBOuYRf8Ajzm7f7Brzf8AZ1jWRNb3LnmHH/j9em/ED/kSdc/68pv/AEA15r+zh93XfrD/AOz181iYR/tSjp0Z9DhpP+zK/rE9m+zR/wBxaPs0f9xal2ijaK+l5I9j567Ivssf9xaPssf9xal2ijaKOSPYLsi+zR/3Fo+yx/3FqXaKNoo5I9guyL7NH/cWj7NH/cWpdoo2ijkj2C7Ivs0f9xaPs0f9xal2ijaKOSPYLsi+yx/3Fo+zR/3FqXaKNoo5I9guyL7LH/cX8qiureP7PL8i/dPb2qzj1qO5/wCPeT/dNZ1IR5HoVGTujwL9n2MN4m1DcAf9G78/xivffs8f9xfyrwT9nv8A5GXUP+vf/wBmWvf/AFrwsihF4JadX+Z72eN/XZei/Ij+zR/3Fo+yx/3Fqak2ivoeSPY+fuyL7LH/AHFo+yx/3FqXaKNoo5I9guyL7NH/AHFo+yx/3FqXaKNoo5I9guyL7NH/AHFo+zR/3FqXaKNoo5I9guyL7LH/AHFo+yx/3F/Kpdoo2ijkj2C7Ivssf9xaPssf9xal2ijaKOSPYLsi+zxn+Ba8B/aDjC+J7AKAP9Fz0/22r6CwOa+f/wBoP/kabD/r1/8AZ2r53Poxjgm0uq/M+hyJv69H0f5Hulhbx/Y4fkX7i9vap/s0f9xfyptgP9Dg/wBxf5VYxXvU4R5FoeDOT5nqRfZo/wC4tH2aP+4tS7RRtFackexF2RfZo/7i0fZY/wC4tS7RRtFHJHsF2RfZY/7i0fZo/wC4tS7RRtFHJHsF2RfZY/7i/lR9lj/uL+VS7RRtFHJHsF2RfZY/7i/lR9lj/uL+VS7RRtFHJHsF2RfZY/7i/lR9lj/uL+VS7RRtFHJHsF2eJftERrGui7VwczfySvRvh7AjeCdEyi/8ecXb/ZFeeftG/d0T6y/+yV6P8O/+RI0P/rzi/wDQRXzWFjH+1Ky8kfR4mT/suh6s3TbR/wBxfyrM8UQIPDupnYufs0nb/YNa9Znij/kW9U/69pP/AEA179aEPZy06M8GlJ88fU8d/Z3jV9S1kEA/u4+v1avcvs8f9xa8P/Z1/wCQlrP/AFyj/m1e6eteLkUI/UYXXf8AM9rPG/r8/l+SI/ssf9xaPs8f9xfyqXaKNor6Dkh2PAuyL7LH/cWjyFXkKtTUUckVsguwooorQQUUUUAFFFFABRRRQAUUUUAFFFFABRRRQAUUUUAFFFFABRRRQAUUUUAFFFFABRRRQAUUUUAFFFFABRRRQAUUUUAFFFFABRRRQAUUUUAFFFFABRRRQAUUUUAN296RkDDBGQetPooA5LXPhl4b8QfNdaVD5hOTJCDG3THVcZ/GuB1b9m+zkJfTdWng4/1d1GJAT/vDGB+Br2qlraFerD4ZHJUwtGp8UT5rvv2e/Elu3+jzWd0MdpCv4ciuevPhL4tsVdn0WaRV7xMr5+gBz+lfWdLXVHHVVvZnFLK6L2uj4uvvDuraZD5t5pV9aRZx5k1u6L+ZFZ1fcG0egqG4sbe8jMc8Ec6HqsiBgfwNbrMX1ic8spXSR8S0V9kN4N0BuTomnk/9esf+FVZvhz4auDl9Esc/7MIX+Vaf2iusTF5RLpM+QaK+tW+FPhJjk6Ha5+h/xpP+FT+E/wDoCW35H/Gn/aEP5WT/AGTU/mR8l0V9Z/8ACp/Cf/QEtv1/xp6/CvwmvI0S1/EE/wBaP7Qh/Kw/smp/Mj5Jor7Ag+Hvhu35TQ7H/gUCt/MVYXwboKNuXRbBT6i1TP8AKl/aMekSv7Jn1kfGxNa9r4S1y+jSS30bUJon+7JHbOVP44xX2NFaxW6BI41jQdFUAAVLt9hWbzGXSJrHKV9qR8pWfwd8XXrKBpLQq38U0iKB9RnI/Kugsf2edfn5ubuztefu7mc47ngV9HUlYSx1V7WR0xyujHe7PHdI/Zy0u2cPqWpXF6VbIjhUQoR6H7xP4EV6DofgHQPDm3+z9Lt4XUYEm3c/XP3jk10WKPxrllWqVPiZ308NSpfDETA9KP0p1FYnSFFFFABRRRQAUUUUAFFFFABRRRQAUUUUAFFFFABRRRQAUUUUAFFFRTTJbxtJI6oijJZjgAetJuwElFYv/CaaD/0F7H/wIT/Gk/4TTQf+gvY/+BCf41h9YpfzL7zb2NT+V/cbdFYn/CaaD/0F7H/wIT/Gj/hM9B/6DFl/4EJ/jS+sUf5194exqfyv7jborE/4TPQf+gxY/wDgQn+NH/CZaD/0GLL/AMCE/wAaf1ij/OvvD2NT+V/cbdFYn/CaaD/0F7H/AMCE/wAaP+E00H/oL2P/AIEJ/jS+sUf5194exqfyv7iD4gn/AIonXP8Arzl/9ANebfs4/d1z6w/yeuz8ceKtGuvB+sxRapZyyPZyqqLOpLEocADNeffAPW7HSE1j7beQWvmGLZ5sipuxvzjJ5r5zE16f9p0XzK1me/hqc/7NrLld7o95orE/4TTQf+gvY/8AgQn+NH/CaaD/ANBex/8AAhP8a+j+sUf5l954Hsan8r+426KxP+E00H/oL2P/AIEJ/jR/wmmg/wDQXsf/AAIT/Gj6xR/mX3h7Gp/K/uNuisT/AITTQf8AoL2P/gQn+NH/AAmmg/8AQXsf/AhP8aPrFH+ZfeHsan8r+426KxP+E00H/oL2P/gQn+NH/CaaD/0F7H/wIT/Gj6xR/mX3h7Gp/K/uNuisP/hNNB/6DFj/AOBCf40v/CZaD/0F7P8A8CE/xo+sUv5194exqfyv7jborE/4TLQe+r2P/gQn+NJ/wmmg/wDQYsf/AAIT/Gj6xR/nX3h7Gp/K/uNzpUVx/qJP901k/wDCaaD/ANBex/8AAhP8ajuPGWhNC+NXsj8p/wCXhP8AGs6mIpcj95feONGpzL3X9x4/+z5/yMuof9e//sy1791r52+BeqWml+IL+S8uYbWNoMBpnCAncOOa9u/4TTQv+gvZf+BCf414eR1qcMGoykk7vr5nu55TnLGtqL2X5G2tLWJ/wmmg/wDQXsf/AAIT/Gj/AITTQf8AoL2P/gQn+NfQfWKP86+88H2NT+V/cbdFYn/CaaD/ANBex/8AAhP8aP8AhNNB/wCgvY/+BCf40fWKP8y+8PY1P5X9xt0Vif8ACaaD/wBBex/8CE/xo/4TTQf+gvY/+BCf40fWKP8AMvvD2NT+V/cbdFYn/CaaD/0F7H/wIT/Gj/hNNB/6C9j/AOBCf40fWKP8y+8PY1P5X9xt0Vif8JnoP/QYsv8AwIT/ABo/4TTQf+gvY/8AgQn+NP6xR/nX3h7Gp/K/uNuisT/hNNB/6C9j/wCBCf40f8JpoP8A0F7H/wACE/xpfWKP8y+8PY1P5X9xtV4B+0H/AMjRp/8A16/+ztXsv/CaaF/0F7H/AMCE/wAa8P8AjpqlpqniKxks7mG5jW2wWhcOAdzcZHevn89rU54JqMk3ddfM9/I6c442LcXs/wAj6DsOLOHv+7X+VWK56z8Y6GlrCp1eyDBFBH2hOOPrU3/CaaD/ANBex/8AAhP8a92nXpcivJfeeFOjU5n7r+426KxP+E00H/oL2P8A4EJ/jR/wmmg/9Bex/wDAhP8AGr+sUf5l95Psan8r+426KxP+E00H/oL2P/gQn+NH/CaaD/0F7H/wIT/Gj6xR/mX3h7Gp/K/uNuisT/hNNB/6C9j/AOBCf40f8JpoP/QXsf8AwIT/ABo+sUf5l94exqfyv7jborE/4TTQf+gvY/8AgQn+NB8aaD/0F7H/AMCE/wAaPrFH+dfeHsan8r+426Kxf+Ey0H/oL2X/AIEJ/jSf8JpoP/QXsf8AwIT/ABo+sUf5194exqfyv7jborE/4TTQf+gvY/8AgQn+NH/CaaD/ANBex/8AAhP8aPrFH+dfeHsan8r+48v/AGjPu6L9Zf8A2SvR/h2w/wCEI0T1+xxf+givK/j1rVhq66P9ivILrYZd/kyq+3IXGcGu+8C+KdHtPB+jQzanaRSpaxhledAQdo4IzXzmGrU/7TrS5layPoMRTm8sorld7s7nrxWX4o58N6p/17Sf+gGof+E00L/oL2P/AIEJ/jWZ4i8XaJNoOoxx6tZu7W8gCrcISSVPHWverYil7OXvrZ9Tw6dGrzx9179jzj9nU41LWf8ArlH/ADavdK+fvgNrFlpN/q5vbqC1V4owvnSBM4LdM17N/wAJpoX/AEF7H/wIT/GvGyOtTjgYqUkt+vme1nlKcsdNqL6fkjbz7Uv1rLsfEml6hMIbbULaebGRHHMrNj6A1qGvo4zjNXi7nzsouLtJWFooorQkKKKKACiiigAooooAKKKKACiiigAooooAKKKKACiiigAooooAKKKKACiiigAooooAKKKKACiiigAooooAKKKKACiiigAooooAKKKKACiiigAooooAKKKKACiiigAooooAKKKKACiiigAooooAKTaKWigAooooAKKKKACiiigAooooAKKKKACiiigAooooAKKKKACiiigAooooAKKKKACiiigAooooAKKKKACiiigAooooAb/KsrxJoa+IdFu9PeVoluE2F16j3rW6UtZyipxcZbMqMnGSkt0eHH9nKT/oNr1/59v/ALKl/wCGcZP+g4P/AAH/APsq9vorxf7DwP8AJ+L/AMz2/wC28d/P+C/yPEP+GcZf+g4P/Af/AOyo/wCGcZf+g4P/AAH/APsq9vopf2HgP5Pxf+Y/7cx/8/4L/I+UPGHgs+E/EUOlPci4aREfzNm3G5iMYyfSu+X9nOVlB/twD/t3/wDsqyvjN/yUuzx/zxh/9DavoSP/AFaj2rwsBleGrYivGcbqLstWezjs0xdLD0JwnZyTb0R4l/wzjL/0HB/4D/8A2VH/AAzjL/0HB/4D/wD2Ve30V7v9h4D+T8X/AJnjf25j/wCf8F/kfP8Ar3wJk0PRb3UDq4mFrC83l+TjdtUnGd3tXN/Dz4cnx99tK3v2L7MUH+r37t273HpX0H8Qf+RJ10f9OUv/AKAa80/ZxHGufWH+T14VfK8JDMKdKMPdknfVns0M1xcsBVqufvRatouoz/hnGX/oOD/wH/8AsqP+GcZf+g4P/Af/AOyr2+ivd/sPAfyfi/8AM8b+3Mf/AD/gv8jxD/hnGX/oOD/wH/8AsqP+GcZf+g4P/Af/AOyr2+ij+w8B/J+L/wAw/tzH/wDPz8F/keIf8M4y/wDQcH/gP/8AZUf8M4y/9Bwf+A//ANlXt9FH9h4D+T8X/mH9uY//AJ+fgv8AI8Q/4Zxl/wCg4P8AwH/+yo/4Zxl/6Dg/8B//ALKvb6KP7DwH8n4v/MP7cx//AD8/Bf5HiH/DOco6a4P/AAH/APsq4b4geAW8C3lpbteC789S27y9m3BA9T619TmvB/2hv+Q1pH/XJ/5ivFzbKcLhsK6lKNnddX3PYynNcXicXGnVldWfRdvQktf2epLq2jl/ttV8xQ237P0yP96pv+GcZP8AoOD/AMB//sq9i0n/AJBtt/1zX+Qq5Xq08jwLim4dO7/zPJnneOUmlP8ABf5HiP8AwzjL/wBBwf8AgP8A/ZU1/wBnWSNWY62pxzj7P1/8er3Gorg/uJP9006mR4FQdofi/wDMUc8x917/AOC/yPlnwD4HPjrUri0F59kMMfmb/L355AxjI9a7sfs4yf8AQcUf9u3/ANlVD9nv/kZtQ/69/wD2Za9+/CvIyfKsJiMMqlSN3d9Wexm+a4vD4uUKc7Ky6Lt6HiH/AAznL/0HB/4D/wD2VL/wzjL/ANBwf+A//wBlXt60V7f9h4D+T8WeN/bmP/n/AAX+R4h/wzjL/wBBwf8AgP8A/ZUf8M4y/wDQcH/gP/8AZV7fRR/YeA/k/F/5h/bmP/5+fgv8jxD/AIZxl/6Dg/8AAf8A+yo/4Zxl/wCg4P8AwH/+yr2+ij+w8B/J+L/zD+3Mf/z8/Bf5HiH/AAzjL/0HB/4D/wD2VH/DOMv/AEHB/wCA/wD9lXt9FH9h4D+T8X/mH9uY/wD5+fgv8jwLXPgNLouj3t+dYEwtoXm8vyMZ2qTjO72rl/h78PW8fyX6i+Fl9lCHmLfu3bvcYxtr6H8c4/4QzXP+vKb/ANFmvLP2ch+/14/7MH/tSvCxGV4WnmFGjGPuyTurvoe3hs0xc8BWrSl70WrOy6sd/wAM4y/9Bwf+A/8A9lR/wzjL/wBBwf8AgP8A/ZV7hRXu/wBh4D+T8X/meJ/bmP8A5/wX+R4cf2cpf+g2v/gP/wDZVwXj7wO3gXUreza7F350Xm7vL2Y5Ix1PpX1XXgP7Qf8AyNGn/wDXr/7O1eJnGVYTD4R1KcbO66vuexlGa4vEYuMKkrrXouxdh/Z3kmhST+21XeA2Ps/r/wACqT/hnGX/AKDg/wDAf/7KvZ7H/j0g/wCua/yqxmvYhkmBcF7n4v8AzPJlneP5n7/4L/I8Q/4Zxl/6Dg/8B/8A7Kj/AIZxl/6Dg/8AAf8A+yr2+ir/ALDwH8n4v/Mn+3Mf/P8Agv8AI8Q/4Zxl/wCg4P8AwH/+yo/4Zxl/6Dg/8B//ALKvb6KP7DwH8n4v/MP7cx//AD8/Bf5HiH/DOMv/AEHB/wCA/wD9lR/wzjL/ANBwf+A//wBlXt9FH9h4D+T8X/mH9uY//n5+C/yPEP8AhnGT/oOD/wAB/wD7KmN+zrLGpP8AbgOP+nf/AOyr3Ko7j/UP9KieSYGMW1D8WNZ3jr/H+C/yPlLwL4MPjbWpdPW6FqY4TL5nl7s4ZRjGR616F/wzjL/0HB/4D/8A2VY3wD/5Ha7/AOvR/wD0NK+h68jKsqwmJw/PUjd3fV9z1s1zXF4fE8lOVlZdF2PEf+GcZf8AoOD/AMB//sqP+GcZf+g4P/Af/wCyr2+iva/sPAfyfi/8zyP7cx//AD8/Bf5Hy58Qvhy3gIWRa+F79pLj/VbNu3HufWui8P8AwKk17RrO/GriEXMKy+X5GduQDjO73rW/aMGF0X6y/wDslej/AA7/AORJ0Mf9OcX/AKCK8KhleFnmFSi4e7FK2rPar5pi45fSqqfvSbvouh5p/wAM4y/9Bwf+A/8A9lR/wzhL/wBBxf8AwG/+yr2+ivd/sPAfyfi/8zxP7cx/8/4I8Q/4Zwk/6Di/+A3/ANlS/wDDOMn/AEHV/wDAb/7KvbuaOaX9h4D+T8WP+3Mf/wA/PwX+R5R4P+CP/CM69b6jLqrT+SSyxpFsycY5OTxzXqyjHFLRXqYbC0sJDkoqyPLxGKq4qfPWd2LRRRXYcoUUUUAFFFFABRRRQAUUUUAFFFFABRRRQAUUUUAFFFFABRRRQAUUUUAFFFFABRRRQAUUUUAFFFFABRRRQAUUUUAFFFFABRRRQAUUUUAFFFFABRRRQAUUUUAFFFFABRRRQAUUUUAFFFFABRRRQAUUUUAFFFFABRRRQAUUUUAFFFFABRRRQAUUUUAFFFFABRRRQAUUUUAFFFFABRRRQAUUUUAFFFFABRRRQAUUUUAFFFFABRRRQAUUUUAFFFFAHzx8Zv8AkpVn/wBcYf8A0Nq+hY/9Wv0FfPXxm/5KVZ/9cYf/AENq+hY/9Wv0FfMZV/vWJ/xL8j6LMv8AdcL/AIX+Y6iiivpz50534gf8iRrn/XlL/wCgGvNf2cfu679Yf5PXpXxA/wCRI1z/AK8pv/QDXmn7OP3dd+sP8nr5jE/8jSj6M+hw3/Isr+qPbaKKK+nPngooooAKKKKACiiigBrV4P8AtDf8hrSP+uT/APoQr3luleDftCf8hrR/+uT/APoQr53Pv9yfqvzR9BkP+/R9H+R7XpP/ACDrb/rkv8hV2qWk/wDIOtv+uS/yFXe1e5S/hx9Dw6nxsWorr/j3k/3TUtRXX/HvJ/umqqfAyY7o8F/Z7/5GbUP+vf8A9mWvf+4rwD9nv/kZtQ/69/8A2Za9/wC4rwMh/wByXq/zPfz3/fZei/IFpaRaWvoz54KKKKACiiigAooooAwPHX/Il65/15zf+izXlv7OP/Hxr3+5B/7Ur1Lx1/yJeuf9ec3/AKLNeW/s4/8AHxr3+5B/7Ur5nGf8jTD+j/I+iwv/ACLMR6x/M9xooor6Y+dEHevn/wDaE/5GjT/+vX/2dq+gB3r5/wD2hP8AkaNP/wCvX/2dq+bz/wD3J+q/M+hyL/fo+j/I95sP+POH/rmv8qnqCw/484f+ua/yqevfpfAjwZ/ExaKKK1ICiiigAooooAKiuf8AUP8ASpaiuf8AUP8ASs6nwMqO6Pnz4A/8jtd/9ej/APoaV9DV88/AH/kdrv8A69H/APQ0r6Grwci/3X5s97PP97fovyHUUUV9EfPnif7R33dD+sv/ALJXo/w7/wCRI0P/AK9Iv/QRXnP7Rn3dD/7bf+yV6N8O/wDkSND/AOvSL/0EV8xhf+RpW9EfRYj/AJFdH/EzpaKKK+nPnQooooAKKKKACiiigAooooAKKKKACiiigAooooAKKKKACiiigAooooAKKKKACiiigAooooAKKKKACiiigAooooAKKKKACiiigAooooAKKKKACiiigAooooAKKKKACiiigAooooAKKKKACiiigAooooAKKKKACiiigAooooAKKKKACiiigAooooAKKKKACiiigAooooAKKKKACiiigAooooAKKKKACiiigAooooAKKKKACiiigAooooAKKKKACiiigBOoprEKuad2r5/+MHjq6v8AXZtJs52hsbQ+XJ5ZI82T+LPsDxj1BPpjmr1o0I8zNadN1JWR7r/aVovBuoQf+ug/xo/tS0/5+4P+/i/418flskknJPWj8a8v+0v7p2/U/wC8emfFjT7rUviFaXNpbyXMAiiBlhUsow7Z5Fe5R6lZqi/6XB0/56D/ABr5A/H9KX8a87D1o4epUqJXc3c78RGWIp06b05FY+wP7Ss/+fuD/v4tH9p2n/P3B/38Wvj/AD70Z969H+0n/L+JwfU/7x9R+OLyG68I6xDBNHLNJaSqkaOCzEocADua4D4C20ujLrIv42svMMWz7R8m7G/OM9eorxv8f0pPx/SvPqVo1MTDEtaxTVvU7qcZQw88OtpNO/ofYP8Aaln/AM/UP/fxanjmjmXdG6uvqpBFfHGff9K2/DHjC/8AC2oRXFpO4jVhvhLHY655Uj6Z+lelHMk3aUTz5YNpaM+sMilqvY3K3lnBOn3ZUDj8RmrFe0ndXPPCiiimAjdKrTX1vC2JZ4429GcCuL+L3i248K+HV+xv5V1dv5SSjqgxkke/+NfO1zdTXkxluJnnkJyXkYsfzNebiMYqEuRK7Oqlh3UXNex9dHVLTn/S4f8Av4P8a8Z+Olncaxq2lPYxPeIkThmgG8Kdw64ryb8aPxrxsZXWMpOlJWTt+B62DjLB1VWjq1+qPrbTdRtY7C3VrmFWEaggyDPQe9Wv7Vs/+fqD/v4v+NfH/wCP6UfjXZHMOVKKicTwvM2+Y+v/AO1LT/n7g/7+LUdxqVoYJALqHO0/8tB/jXyJ+P6UfjRLMOZW5fxBYOz+I9S+B9jc6Pr99JewSWcbQYV7hdgJ3DgE17d/atp/z9wf9/F/xr4+/H9KX8a48FXjg6SpRV0jtxkZYyq6snZs+w4r23mYrHPG59FcGp+K+Oba6ls5hLBM8MgOQ0bFT+lfRfwl8ZTeK9Bdbtt99ZsI5Wxy4IyrH3OCPwr2cPjFWlytWZ5VXDumr3ud7RRRXpHIN206is/Wr46Xo99eKgc28DyhScA7VJx+lS3ZXYytrHirSdAwNQ1C3tmxkI7jcfovWsn/AIWp4V/6DMP/AHy3/wATXzXqGpXGrX095dytNcTMWd27n+g9qrZ968GWYTv7q0PTjg01qz6K8SfELw1q2g6lZQ6xbiS4t5IULq4G5lIGfl6c1xXwj1LSfA8upvqOtWLfaljCeR5jY2785yg/vCvKvxoz71w1K3tK0K8o+9G9vmdcIyp0Z0Iv3ZWv8j6d/wCFqeFf+gzD/wB8t/8AE0f8LU8K/wDQah/75b/4mvmL8aPxrs/tCp2Ry/U49z6e/wCFq+Ff+gzD/wB8t/hXlnxWuNM8aa1a3Wn63YrFHD5becZFOdxPGEPrXmn4/pR+NcmJxH1qn7KpHRnVhoSwtRVab1R9M2vxQ8LQ28SNrEOVUA/K/p9KmX4peFmYAaxDk8cqwH8q+YPxoz711RzCpFWSRzfU1J3bPsDT9StNUgE1pcRXUTdJIXDD8xVyvmz4O65caV4ytbaN2+zXpMUkeeDwSDj1GP1NfSVexh6/t4c1rHn1afspWFooorrMRO9MdljUkkBRySTT8c5ryb48eILix02y0y3lMS3RZ5tpwSq4wufTJ/QVhWqKjBzZpCDqSUUdjd/EjwzZymOXWLYuOD5ZL4/FQary/FLwqyEf2xDyMfdf/CvmT8aPxrxJZhN391HorCLe56N8LZNN8G+Ip76+1uweJ4GiAgMjHJZT3QccV67ZfEbw9qFwtva6iLmdvuxxROzH8AtfLn4123hHdY+BvFWo28jR3qiGBXXG5UZwGx9c4rDB1vq8fZQWmr/U3xcZYiXtZv3tF+h77qnifTtGtfPu7oRQZ2mQKzKp9CQDg/Wq+k+NtG1yRlsb0XJXlmSN9q+5OMD8a8M+FBN54iuLCd2ezu7WVLhCxwVx1PuPWm69I2lfDnw7b2smyK+eee524BdlKgAkdQAT+npXpfXJOPMlocDw9ny9Tr/jYtrr0mmwLqNvZS25kZluxIm4NtwVIQ5HBrofCvj/AMN6L4d02wn1m3M1vAkTmMOVJCgHB29K+fprqa4VFlmeRYxhQ7Fgv09Ki/GvJjWVOvOvFay/Q9KUZVKEaEn7sW2vmfT3/C1PCv8A0GYf++W/wqzYfELw7qU3lW+r2zyE4Cs2wn2G7Ga+WM+9G73rs/tGfVHK8HHufZOc8g5FL3rzr4J+ILjWvC8ltdO00lnJ5SyMckoRkA/TkfTFejV7lOoqkFNdTzJRcJNMWiiitSQooooAKKKKACiiigAooooAKKKKACiiigAooooAKKKKACiiigAooooAKKKKACiiigAooooAKKKKACiiigAooooAKKKKACiiigAooooAKKKKACiiigAooooAKKKKACiiigAooooAKKKKACiiigAooooAKKKKACiiigAooooAKKKKACiiigAooooAKKKKACiiigAooooAKKKKACiiigAooooAKKKKACiiigAooooAKKKKACiiigAooooAQ18o+OePGeu4/wCf2X/0I19XGvlHx1/yOmuf9fsv/oRrx8x+BHdg/jZh0UUV8+euFbul+E5r7TRqN1eW2l2DP5aTXRYeYw6hQAScevSsKu48bLHJ4L8HS2y/6OtvIjFVwBJld345B/I1tTimm2r2Mpt6JdTB1zwrcaLZQXwuLe+0+diiXVsxK7h/CcgEHr+Rq1/wg8ttFbnUNTsNLnnQSLb3TOJNp6EhVOM+9bvh+S2s/hvu1FQttNrELJvU/Mo27yPUbQR+FZvxXjkXx1qLlW2SeW0bY4ZdijIreVOMY89u2hgpyk+W5yl1AbW6mgLxyNE5QtGwZSQcZBHUVHSsrRsUYFWU4KkYIpK43udmoUUUf/E0LcWp9aeEv+RY0n/r1j/9BFay1k+Ef+RX0n/r1j/9BFay9K+zh8KPnZbsWiiitCTx/wDaF/48dI/66SfyFeKV7b+0J/x46P8A9dJP5CvEq+Wx38Zns4b+GgooorgOw0NC0G68RX32a1CgqpkkkkO1I0HVmPYCtT/hCTcQTPp+r6dqU0MZle3gdw5UZyV3KM4AzVnwWqyeH/FkUSM961mhjCjLbA4L4/8AHfyqL4X718aWMo+WKFXkmfssYQ7s+2OPxrrhGNoprc5JSld2exn6L4Xn1iznvWuLexsYWCNc3TFV3noowCSfoKg1jSF0ryDHqFnqEcobDWrk7SDyCGAI6jtzW9qim4+HNhJbKzQx6hP9oKfdDELtJH06VyOxgoYqdpJAbHBx/wDrH51FSMYLlSLg5Sd7iUUUVznQFey/s7/8x3/t3/8AaleNV7N+zz/zHv8At3/9qV34H+MjjxP8NnstFFFfUnjDf4qyPGH/ACKes/8AXnN/6Aa1/wCKsjxj/wAiprP/AF5zf+gGsqvwMqO6Pk5vvGko/iNFfGH0YU+3t5Ly4igiG+WVwiL6sTgD8zTKv+H7qOx13TrmY7YoriN3Y9gGBJpxV3Zky0TOkvNB8L+H7o6dql7qVxqEZCzyWKx+QjHqvzfMcd/p0HSoZPh5d/8ACVLpEdxG0LxfalvCML9n5PmEfpj1HXHNP8X+D9Vm8VX0lrZyXkF7cNPbzW6FkdXJYYPTvg/Q10y3FjJ4tj0Vb6MOugHSPOP3POIPGR9fzGK9BQjJtSVtdDi5nFXTucZqUHhNbSdLG61T7ZGMpJcJGYpCPQD5hntnpXOfpWvceEdasxcmbTp4UtwWleRdqgD3PBrIrjqXvdqx1wt0dwooorI0On+Gn/I+aL/13/8AZTX1Ee1fLvwz/wCR80f/AK7/ANDX1Ee1fQ5b/Dl6nj4v4xR3paQd6WvXOIReleIftCf8hTSf+uL/APoQr29eleH/ALQf/IU0n/ri/wD6FXBjP4Ejpw/8RHktFFFfLHuahWz4Z8SSeHZpwbeK9srlPLubWYfLIuc9exHY9qxqd5bBFcqdjdGxwfpVRk4u6JaUtGdNceLtPtbG5g0TRBpUtyhiluHumnfyz1Vcgbc96g0bxZDZ6SdJ1PTY9V05XMsUbSmKSJz12uAeD3GK56pY7Wea3mmjidoYdvmSAfKmTgZPvWiqzbujP2cbalzW9SstQmj+waammQRrgRiUysxJySzHr+XSs6iis223dmqXKrIKKKKkZ7h+z5/yCdW/67p/6Ca9bryP9nv/AJBOrf8AXZP/AEE165X1mF/gxPBr/wARhRRRXYYBRRRQAUUUUAFFFFABRRRQAUUUUAFFFFABRRRQAUUUUAFFFFABRRRQAUUUUAFFFFABRRRQAUUUUAFFFFABRRRQAUUUUAFFFFABRRRQAUUUUAFFFFABRRRQAUUUUAFFFFABRRRQAUUUUAFFFFABRRRQAUUUUAFFFFABRRRQAUUUUAFFFFABRRRQAUUUUAFFFFABRRRQAUUUUAFFFFABRRRQAUUUUAFFFFABRRRQAUUUUAFFFFABRRRQAhr5R8df8jprn/X7L/6Ea+rjXyj46/5HTXP+v2X/ANCNePmPwI7sH8bMOiiivnz1wrb0Hxhqnh2GSC2kjltJG3NbXEYkjLeuD0P06/gKxKt6fpN1qv2gW0fmeRE08nIGEUZJ5qouSfukySa94sa54k1DxFNHJfT7xGNscaKESMeiqOBWnpvxG1zS7BLRJ4po4l2wtPCkjRDttJH6HPSs/RfC+o+II5ZbSD/RouJLiVgkSexYkDNM1rw3qPh9ofttv5aTLuilVg6SD1DDg9f1rVOr8epnam/dKFxcSXdxJPM7STSMXd2OSzE5JNR0UVgbaBRRRTW4pH1p4T/5FfSv+vWP/wBBFay9KyfCf/Ir6V/16x/+gitZelfZw+FHzstxaKKK0JPIf2hP+PHSP+ukn8hXiVe2/tCf8eOkf9dJP5CvEq+Wx38ZntYb+GgooALcAZNdBdeA9asrGW6mtVCwx+dLGJUMkceM7iucgVxRhKWyOlyS3ZlaXq13ot9HeWU7W9xH0ZefqCDwR7GtjVPiDrOrWcto8sNvBMMTC3gWMy/7xAz+ArM1LQ7rSbOwuZ9nlXsfmw7XBO3Pcdqz6rmnFct7C5Yy941tA8Van4aaT7BOEjlwJIZEDo/1Uj9etN17xJf+JLiOW+lVhGCsccaBEQHrgAfTnrwPSsuilzStyt6Byq/MlqFFaPh/Q5/EeqR2NsyLNIGIZ+nAJ/pWd7VNna5XMr2CvZv2ef8AmPf9u/8A7UrxmvZv2ef+Y9/27/8AtSu/A/xkcmK/hs9looor6g8Yb/FWR4y/5FPWf+vOb/0A1r/xVkeMf+RU1n/rzm/9ANZVfgZUd0fJzfeNJSt940lfGH0cfhCitbwz4dm8U6otjBNHA5RpDJLnACjJ6A1Z1Dwi1rpMupWWoWuqWcLrHM1vuDRljgZVgDg+taKnKS5ktCHOKdmZtvrWoWtq1rDfXEVs33oUlYIfqM4qlnnPejd3qxDaxS2dxObqOOWMqFgYMWkznJGBjj3Iqfel1H7q6DrjVb28t0gnu55oYxhI5JCyr9ATVWir9jot1qGn397CqmCxCGYs2CNxIGB36Gn70n3FeMUUKKKKgs6f4af8j5o3/Xf+hr6iPavl34af8j5o3/Xf+hr6iPavoct/hy9TyMZ8Yo70tIO9LXrnCIvSvD/2g/8AkKaT/wBcX/8AQq9wXpXh/wC0H/yFNJ/64v8A+hV5+O/gSOnD/wARHktFFFfLnuD4YnnmSKNd0jsFVR3JOAK9O1u1tr/Q9S8NWoj87QbaO4RxjMjKCbjn/gXTPVa4TwtfWml69aXt6GaC3Yy7FGSzAEqPpuxn2rf0X4o6pb65DPevFJZySYuFW3jDGNuG+ZQCSM59yBXZRcIxfM99DlqqTenQo6H4N/4SbS4pNOuDLfJOI7m3dcCNGziQHuvHPcfiM37e3tbTwv41hs52ubWKW0RJmAG8CVuR7elN0fxZp3g+Nn0qNrye5uG+0CePav2YZxGOTyc5J9h6c1ZtW0mz0vxNYWBmMF9JbvahlwQqOzFT9AcVa9nFab9TP35Mmj8G2NrNptlqVxdxX17GkmYYQ0cO/wC6GyQSfX0965fULGXTb65tJgBNbyNE+DkZU4NdjqXiax8SLZ3NzrGoaXdRwJBNFDEZEcrxvBDrjPpiuJmbfNI25n3MTuf7x9z71lVULLkNqfNf3hlFFFcp0HuH7Pn/ACCdW/67p/6Ca9bryT9nz/kE6t/13T/0E163X1mF/gxPCxH8WQUUUV2HOFFFFABRRRQAUUUUAFFFFABRRRQAUUUUAFFFFABRRRQAUUUUAFFFFABRRRQAUUUUAFFFFABRRRQAUUUUAFFFFABRRRQAUUUUAFFFFABRRRQAUUUUAFFFFABRRRQAUUUUAFFFFABRRRQAUUUUAFFFFABRRRQAUUUUAFFFFABRRRQAUUUUAFFFFABRRRQAUUUUAFFFFABRRRQAUUUUAFFFFABRRRQAUUUUAFFFFABRRRQAUUUUAFFFFACGvlHx1/yOmuf9fsv/AKEa+rjXyj44/wCRz13/AK/Zf/QjXj5j8CO7B/GzDooor589cK674ef8zF/2B7n/ANArka09D16XQ/t3lRrJ9rtZLVt38KuMEj3rWnJRmmyKicotI6Pxdm18BeE4IDst50mmlVTw8mV5I9s/rS6d5dx8JtVFw2Tb38bWwJ6OQAwH/ASxrI03xc1ro40q9sLfVLBHMkUc5ZTGx6kMpB/Coda8TS6pY29hBbxafpsDGRLWAsQXPViSSSfr0ro54/Ffpaxz8svhfcxaKKK4jrCiij1poUj608J/8ivpX/XrH/6CK1l6Vk+E/wDkV9K/69Y//QRWstfZw+FHzstxaKKK0JPIf2hP+PHSP+ukn8hXiVe2/tCf8eOkf9dJP5CvEq+Wx38Zns4b+EiS3ma3uI5VGWjYOAfUHNdtqmn6f48a71TRJZbfWAjXN1ptxyHAHztG49z0PXPauIhk8mZJCiyBWDbHGVbHYj0ro18ZxWcN0NO0a0064uYmge4ieRmCN94LuYhc+3pWNKUUmpbGlSLunHc3bPwzpl1qvguCSALFeWhluApI8wjceTnjpTNesYtL8I3D6nodjpmqyXIjt41VgxiKnLKN3Y9zn0qDwp4oW81vSEvXtrSKws5LaJpmxHKSpwrk5wCTg1Jq1laR+HdRk1mz02x1MFPsK6fOGkbJ5JVXYbcdzXUnFwbj/WhzaqSTLTQ6TpuqeF9O/sS0uBqNpavcTTFi37z5SVwcA9T+NZOl6LNZ6hq8cGl2V9Db3Hki51CTZHHgt8oJYAsePXpWVc+Kp7rVNHvmhjEmmxQwxrzhxEcgn61YTxo0lvf215YQXtrd3RvPJdmXZIeCQVIOMY/KsvaQbNeSSR2Wi6Pb6T8RtEa3hit1urDz2hgbfGjFGBCnJyMrnr3rymuq/wCFgXK65p2pR2VvG1jbfZY4V3BNvzY75zhv0rlT61jUlGStHuaU4uL1CvZv2eemvf8Abv8A+1K8Zr2b9nn/AJj3/bD/ANqV0YH+OjPFfwmey0UUV9QeMN/irI8Y/wDIqaz/ANec3/oBrX/irH8Yf8inrP8A15zf+gGsqnwMqPxI+T2+8aSlakr4w+jj8J2vwhx/wmA3Z2/Zpc46/dqrea9oth4fu9K0OK9/4mDxm5uL/YCqocqqhT6k8n/9WFoutXfh+++12TiObYybmUHgjB61Q210Rq8sLJGEqfNK7PTNc1i78O+NIPD+nQRrpCtDH9j8sFbkMq7i2RliSxGfYVj6xYwafo/im3t1xDDq8ccffCjzcDP4Cs+1+IOs2ttHGskDzRR+VFdyQK08SYxtVyMgVjLqVwmnz2W/dBPKs0gbkll3YOf+BGtpVovb/hjJU5I9FuPEtzY+MtH02GK3WyuIbOG5j8pT9oDxoDvJ6gA8Dpx9ado+oXGh6P49t7GUwRWFwq24GDsHmuO/sB1rz6bXrybVLbUHdTdW/lbG28fuwAvH/ARVnT/Fmo6bqV9eRvHI98WNzFJGHjl3HJyp46mn7aN/67C9k7GTPM9zNJNI26SRi7NjGSTk0ypLi4e6uJZpNu+Ri7bVCjJOeAOBUdcB2I6f4Z/8j5ov/Xf/ANlNfURr5d+Gf/I+aP8A9dv/AGU19Q19Dl38J+p5OM+McvSloor1zhCvD/2hP+QrpH/XF/8A0IV7hXh37Qn/ACE9JPbynH/jwrgxv8CR04f+IjyWit3wR4cHinxJbWLsyQYaSZlxkIoycZ98D8anvPEekTC4t4fD9vHalSsEgdhOh5wzNk5PTI6V82qd43bseu5+9ypXOborpNP8C3F5Z2082o6fpzXQzbw3kxWSUE4DAAHAPYmqjeFNQjTVzMqQPpm03Ebn5vmYKNuMg8n16Ueyl1Qe0j3Mair7aPOuhrq26P7K1ybULk794QNnGOmD610F18MtRtZri2N/pr38Ks4so7gmV1A3EqMenIBwaSpSlsgdSK3ZyFFdhpvgeDUvBp1I6nY2t01yEH2i4KqiANlGG04Y4yPUVl6b4TmvrGO8nvbPTbWV2jgkvJComYcHbhTwD1Y4FV7Gemm4e0jrqYdFdBZ+BtUvtYvdNHkQ3FnH5srSybU2ZUbgccjDBvpn6Vmaxpo0m+a3W8tr5QAfOtH3oc9s461DhKKu0OM1J2PY/wBnz/kE6t/13T/0E163Xkn7Pn/IJ1b/AK7p/wCgmvW6+pwv8GJ4tf8AiMKKKK7DAKKKKACiiigAooooAKKKKACiiigAooooAKKKKACiiigAooooAKKKKACiiigAooooAKKKKACiiigAooooAKKKKACiiigAooooAKKKKACiiigAooooAKKKKACiiigAooooAKKKKACiiigAooooAKKKKACiiigAooooAKKKKACiiigAooooAKKKKACiiigAooooAKKKKACiiigAooooAKKKKACiiigAooooAKKKKACiiigAooooAKKKKAEPSvnD4ueE59D8T3N8qs1lfOZlkPQOeWUn69PYivo8NUF1aw3kJiniSaNuqSKCD+BrlxFBV4crNqVR05XPjyivq1vBGguxLaRZknqfJX/Cj/hBfD//AEB7P/vyK8r+zZfzHd9cXY+UqK+rP+EH0D/oD2f/AH5Wj/hB9A/6A9n/AN+Vo/s2f8wfXF2PlOivqz/hB9A/6A9n/wB+Vo/4QfQP+gPZ/wDflaP7Nn/MH1xdj5Tor6s/4QfQP+gPZ/8AflaP+EH0D/oD2f8A35Wj+zZfzB9cXY+U6vaLo91r+pQWNnE000rY+UZCjux9AK+nv+EF8P8A/QHs/wDvyK0dP0ix0tStnaQ2wPXykC5/KnHLXdc0tCZYzTRD9NtVsdPtrZekMaoMewxVuiivcSsrHmhRRRVAecfGrw3c674dhmtI2mls5DIY1GWZSMHA9uK+e+hweDX2R1461lXXhPR76QyT6ZayyE5LNEMk15eIwXtp86djto4j2ceVo+TKK+rP+EH0D/oD2f8A35Wj/hB9A/6A9n/35WuT+zZfzG/1xdj5Tor6t/4Qfw//ANAez/78rR/wg/h//oD2f/flaP7Nn/ML65H+U+UqK+rf+EH0D/oD2f8A35Wj/hB9A/6A9n/35Wj+zZfzB9cXY+UqK+rP+EH0D/oD2f8A35Wj/hB9A/6A9n/35Wj+zZ/zD+uLsfKfXpzzivoL4K+F59A0Ga7ukaO4v2V/LYYKxgHbkdick/iK7C18J6PYyB4NLtYnByGWJcg+ta+BXXhsH7GXNJ3MK2I9orJDqKKK9Q4gqpqFpHqNjcWsuTFNG0b44O0gg1boqWr6AfLXiz4f6r4UvpI5LeW4tM/u7qKMlGHbJHQ+xrn/ALJP/wA8Jf8Avg/4V9hbaUoK8mWXRbupWO+OMklZo+O/sdx/zwl/74P+FH2O4/54S/8AfB/wr7E2ijaKj+zY/wAw/rkux8d/Y5/+eEv/AHwf8KX7Hcf88Jf++DX2HtFG0Uf2bH+YPrkux8efY7j/AJ4Tf9+zR9juP+eE3/fs19h7RRin/Zy/mH9cf8p8efY7j/nhN/37NAs7jIHkS5/3DX2HtHoKNopf2bH+YX1x9jw/4R/Dm/i1aDWtRga1hhBMMUqlZGbGM47Dnv1r3E0irTq9SjRjRjyxOSpUdSXMwooorcyG+lcH8VvA83jDSYXtCPttqSyIxAEgPVc+vAx+PrXe9qKyqQVSLhLZlRk4u6PmPwXeXXgfxZFLqFhcwxkNDMrQtuVWHUD64P0o1DwALOK4uU1rTprNFZ4vLlLTPx8o8sDIJOB7V9NYx2o2jFcCwMOXlb0On6w+bmSsfOl94dXxXFpN7FqVnZJDZw208N1L5csZjG0lVIyQcZGK0DqNt4l1rxZbCX7HHqUEUdtcXSlIy0QX7xI+Xdt7+vrxXvmKNoz0q/qi7ke2fY+bde0yPR/AcGnJewX95/abSyLaksFzEBwf4hwPmHGeOxq9LdIvxi+3CVRZG6z9oDfu9uzru6Y/GvoTA9KNo/u0ng1dWe1vwH7Z9UfNmi6aNZ8H6jpguYLK7W/S6AvG8pXQIynaSOTz0rQs/O1rwnpFrZy6VaXWn+bFPHqcMYzuclXQyKc5HXHevoPb/s0Y7YpxwiX2gdZvofNv2i7Fx4nF/dQ3Fy9gsCS24AjkKvFhUwADhR2HY1y2n+H9S1a4FvZWE88rH7qRn8yew9zX11t9qXaKzlgVJq8i44lxvZHI/Dfwe3g3w+LaZ1ku5n82Zl6AkABQe4AH866/NH1oGK9GEFCKjHZHLKTk7sWiiitCQ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8B/bW+MWsfBX4H3Wq6A3kaxqF5FplteDB+zFw7tJgggnZGyj0LA9q/Ltv2gvig7Fj8RvFmTyca3cgfkHr9B/8Agpx/yb7pP/YxW3/pPcV+XsNvLcFxFG0mxS7bVJ2qOpOOgoA7v/hf3xP/AOijeLP/AAd3P/xdH/C/vif/ANFG8Wf+Du5/+LrgaKAO+/4X98T/APoo3iz/AMHdz/8AF0f8L++J/wD0UbxZ/wCDu5/+Lri9J0m817VLXTdOtZb2/upFhgt4FLPI5OAoHqTXscP7NMC27W178QvDtlr/AJqx/YjHcy2yZxkPdJGUBBJyVDLx96plKMd2ceIxmGwlvbzUb7Xdjjx+0B8UFII+I3izI551u5/+Lr9S/wBi/wCK2ufGD4FadrPiOZbrV4LmaylugoUz7CMOwAA3YYA464z3r8i/FHhfUvBuuXOkavbfZb63I3JuV1IIyGVlJDKRghgSCCK/UT/gm3/ybdH/ANhe6/klUdcZKSvE+qKKKKBhRRRQAUUUUAFFFFABRRRQAUUUUAFFV7i6itYXmmkWKOMFnkkYKqgdSSegrwH4zft6fBL4GieDXfGtpqOsRKf+JPof+nXRYY+RgnyRNzx5rJmgD6GorwT9l39szwD+1pZ63J4Oj1Szu9HaMXVlq8CRShXzskGx3BUlWHXOQeK97oAKKKKACiiigAoorgviP421DwlcWSWSQMJlYt5yE9D2wRQB3tFeOaL8WNb1LWdPtJY7NYp7iOJ9sbA4ZgDj5vevY6ACivN/iF4/1LwrrUdrZpbvE0Qc+ahJzk+hFUfBvxM1fxB4ks9PuI7VYJt+4xoQ3CMwx83qKAPVqKK8v8c/EfVfDfiGaxtktmhRVbMqEtyM9iKAPUKK83+Hvj/UvFWuS2l4lusSwNKPKQg5DKO5Pqa9IoATIpa8i8SfFPWdH169soI7UwwSsil42JwPX5q6L4beNL/xdJqAvVgUW4jKeShX727Ock+goA7u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kT/gpx/yb3pP/YxW3/pPcVh/8E6tT+HX/CmtSt1+wQeKYZZ5td+3GPeYc/I4Lf8ALER7QewYPnGedz/gpx/yb3pP/YxW3/pPcV+XLAN1GaAPRv2iL7w1qXxs8YXXhAxt4flv3a2aAARN/eMeABsLbse3rXnVFFAHsP7LqpJ4216GFQ2tTeHr5NLAUl/P2qZAmP4zbi4A+vriuixyR39K8D0/ULnSb62vbK4ktby3kWaGeFirxupBVlI6EEAg16xH+0trX9nyJc+G/DN5qrNv/tabTz52cg52BhETx1MZ6muDEYd1mmnsfnnE3DdfOqtOrRqJcqs09vUl/aIkt2s/AkUjO2sR6S/2jMitthNxKYAQDkNtJPP8LJ2r7z/4Ju/8m3Rf9he6/klflz4i8Raj4r1i41TVbp7y+nI3yP6AYCgDgAAAADgACv1G/wCCbv8AybbH/wBhe6/kldkI8sVE+1wOH+qYaFBu/Kkr97H1RS0UVZ3BRRRQAUUV+ev/AAVI+IH7QPgu98Jf8KvXWLLwc0Dvfaj4dheW5N3uI8uYqCUjCBSpwAWZ8k4AAB+hVFfz4/8ADRH7WX/Qy/EX/wAB7j/4ij/hoj9rL/oZfiL/AOA9x/8AEUAf0HU1nC9SB9a/nz/4aI/ay/6GX4i/+A9x/wDEVSv9Y/ah+Pk0fhi9l+IXiZbgbG0+VLlYWUkf60YCbcgcvxmgD9jfjJ/wUA+B3wTmubLV/Gdrq+s27FJNK0Ei9nR1YqyOUOyNlIOVdlYY6V8T/F3/AILWatdRva/DXwJa2RYY/tLxJK0zD7wO2CJlAP3SGLkdQVNeXfCP/gj/APGDxy1tc+LL3SvAGmyBWf7U5u7xVIzxDGduQeCGkWvuj4Q/8Epfgd8NI0l1nTrzx5qWPmuNdl/c5KgELDGFUDIJG7cwzjcaAPyn1r4x/tCftgeIjox1jxR43vLg+YdI0mNxbxqcRlzBCBHGnzAFiAOeTXuvwk/4I9fFzxn5Nx4wvtL8CWb8vDNILy6UbsEbIzszjkfP9cV+y/hfwjoXgfSY9K8O6NYaFpsZ3LaabbJBECep2qAMnHXqa8u/bI1rx94c/Zw8Z6h8MoLifxpDbx/Y1s4jLOFMyCVo1HJcRFyMZOQODQBgfsg/sV+E/wBkHQtTh0XUr7Xdb1YRf2jq18qJ5mzO1I41HyJlmOCzHJPzGvouv59JP2hP2s45GR/EfxGR1OCptrgEH0xspn/DRH7WX/Qy/EX/AMB7j/4igD+g6iv59of2hv2tJJkSPxH8RnkZgFUW1wST2AGzmv2Z/Yx1j4ieIP2b/B198UYLiDxjJA/ntep5dzJFvbynmTA2yFNuQRnueSaAPcKQtgZpaKAPyu/ae/4K0fEX4U/HDxX4N8J+DfD8emaDePYGXxDbXUlzO6HBkASaMKjdVGDlcNnnA8I8Vf8ABXD4u+L5YHvPDXgqIwgqvk2V4Ovrm6NfrV49/ZM+D3xQ8Rz6/wCKvh7oes6zOAst7cW+JJMDA3FSNxxxk88V4p8Wv2J/gbot1p62Hwz0O1V0YuI4W55/3qAPzp0//gqX8VNN1C2u4/D/AIPaS3lWVQ1ndYJUgjP+k9OK7j/h9V8a/wDoVPAP/gBe/wDyXX1f4d/Y++DN14g0uCX4d6LJFJdRI6mI4KlwCOte9f8ADA37PX/RJvD3/flv/iqAPyv8T/8ABWb4teK79Lu78N+C4pFQIBDZXYGPxuj61X0H/gqz8V/DurQahbeHPBsksO7astndlTlSpzi5HY1+gPxT/Yv+CGi+IIYbL4a6HbRGAMVSFsZyeetZvw//AGN/gnqni7T7W6+G+iT28nmbo2ibBxGxHf1AoA+P/wDh9V8a/wDoVPAP/gBe/wDyXXJeIv8Agq98WPE2qSX9z4c8GxyuFUrDZ3YXgY73Jr9Vv+GBv2ev+iTeHv8Avy3/AMVXjnxI/Y0+Cek+K7i2s/hvokECohEaxNgZUZ70AfCXhj/grL8WvCeoPeWnhvwXLK0ZiKzWV2VwSD2uhzwK6f8A4fVfGv8A6FTwD/4AXv8A8l19o/Cv9i/4Ia14imgvfhrodzEtszhHhbGdyDPX3P516x/wwN+z1/0Sbw9/35b/AOKoA/KLVv8Agqj8VdY1K4vZfDvg5JJ3LssdndhQT6Zua0/Cf/BXL4u+D2uWtPDXgmX7QFD+fZXhxtzjGLoetfa/jD9jv4L2HifUreD4c6LFDHMyoixHAHp1rqvhD+xP8DNcl1QX/wAM9DuhGsRTzIW+XO7P8XsKAPSv2K/2lbn9qv4H2njW+0RdC1OO7l068toWZoHljCkyRFudjBxwclSGXLYyffaxfCfhPRvAvh+z0Lw/pdrouj2SbLexsohFFECSThRxySST1JJJ5NbV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In/AAU4/wCTe9J/7GK2/wDSe4r8uq/UX/gpx/yb3pP/AGMVt/6T3Ffl1QAUUUUAFFFFABX6sf8ABNv/AJNuj/7C91/JK/Kev1Y/4Jt/8m3R/wDYXuv5JQB9UUUUUAFFFFABSMobqM0tFADPLX+6Pyo8tf7o/Kn0UAM8tf7o/KgKqnIAB+lPooAKKKKACiiigBnlr/dH5UeWv90flT6KAG7R6D8qdRRQAUUUUAFeR/HD/j80z/rm3869cryP44f8fmmf9c2/nQBwnhX/AJGjSP8Ar8h/9DFfS9fNHhX/AJGjSP8Ar8h/9DFfS9AHiXxo/wCRng/691/may/hd/yPWmf9tP8A0U9anxo/5GeD/r3X+ZrL+F3/ACPWmf8AbT/0U9AH0DXgvxa/5HW6/wCucf8A6CK96rwX4tf8jrdf9c4//QRQBd+C/wDyNdx/15v/AOhpXtteJfBf/ka7j/rzf/0NK9toA+cvHX/I4at/18N/Ouz+Bv8ArtZ/3Yf5vXGeOv8AkcNW/wCvhv512fwN/wBdrP8Auw/zegD1q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kT/AIKcf8m96T/2MVt/6T3Ffl1X6i/8FOP+Te9J/wCxitv/AEnuK/LqgAooooAKKKDgdTildLcAr9WP+Cbf/Jt0f/YXuv5JX5Tbs9Dmv1Z/4Jt/8m3R/wDYXuv5JTA+qKKKKACiiigAooooAKKKKACiiigAooooAKKKKACiiigAooooAKKKKACvI/jh/wAfmmf9c2/nXrleR/HD/j80z/rm386AOE8K/wDI0aR/1+Q/+hivpevmjwr/AMjRpH/X5D/6GK+l6APEvjR/yM8H/Xuv8zWX8Lv+R60z/tp/6KetT40f8jPB/wBe6/zNZfwu/wCR60z/ALaf+inoA+ga8F+LX/I63X/XOP8A9BFe9V4L8Wv+R1uv+ucf/oIoAu/Bf/ka7j/rzf8A9DSvba8S+C//ACNdx/15v/6Gle20AfOXjr/kcNW/6+G/nXZ/A3/Xaz/uw/zeuM8df8jhq3/Xw3867P4G/wCu1n/dh/m9AHrV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In/BTj/k3vSf+xitv/Se4r8uq/UX/gpx/wAm96T/ANjFbf8ApPcV+XVABRRRQB7F+yj8IbH4zfF620nVjnRrG2k1K9hDFWnjQqojBHTc8iAn+7uxg4r9QbXR9OsdGXRrfT7ODSFhNsunpAgtxERgoY8bSpBIII55r8nfgR8XLv4J/ErTfE1vE1zbIrW99Zq237RbuMOufUcMO25FzxX6A2n7aHwduNLS8fxXJbymLzDYyafcmdWxny+Iyhbtndj3r8B8SMv4jxmIoPKObkS1UXbW+78j1MJOjFP2m58hftr/AAe0n4U/EyzuNAs/sOja7am8W2TAigmEjLJHGB0X7rAdBuwOBx9pf8E3P+TbY/8AsL3X8kr4D/aa+Ny/Hb4jf2taW0lno9jALHT4pv8AWGIMzF3A4DMzE45wMDJxX35/wTc/5Ntj/wCwvdfySv2XJ4Ymnl9GGNd6iir+tjz6lud8ux9U0UUV7JmFFFFABRRRQAUUUUAFFFFABRRRQAUUUUAFFFFABRRRQAUjHC0tFAH5hftGf8FcPE3wl+NnizwZ4f8AA2l3mnaFeNY/atUkmSaWROHbaMAKWzt9Rg55rw/xd/wV68c+MJreS48C+H4DCpUCOec5yfdq/U/x9+yd8IPij4il1/xX8PdE1vWrgKs19cW/72QAYG4jG4gYGTzgV4p8Wv2KvgdodxYLYfDXQ7VXRi3lwnnn60AfAem/8FVfGem6ha3aeCtDd7eVJQrTTYJUg4PPtXff8PuPiF/0Tzwz/wCBFx/8VX0d4d/Y/wDgzdeINLhl+HeiyRSXUSOpiOCpcAjrXvX/AAwP+z3/ANEo8Pf9+G/+KoA/MvxV/wAFcPG/izUEu5/Avh+F1QJtjnnxgZ55b3qt4d/4Kx+NfDesW+oQ+CdBlkh3YR5psHKleze9fc3xU/Yv+COi6/DDZfDbQ7aIwBiqQnGcnnrWb8P/ANjf4K6p4u0+1uvhxos9vIZN0bQnBxGxHf1AoA+YP+H3HxC/6J54Z/8AAi4/+KrjfEv/AAVp8beJtWkv5vBGgRSOqqVSafHAx3av05/4YH/Z8/6JR4f/AO/Df/FV478R/wBjT4KaT4quLaz+HGiW8CohEaxHAyoJ70AfF3hP/grf438J6k97B4G8Pzu0RiKyTT4wSDng/wCzXWf8PuPiF/0Tzwz/AN/7j/4qvrD4VfsYfBHWvEU8F98NtDuYhas4R4TjO5Bnr7mvWP8AhgX9nv8A6JR4e/78N/8AFUAfl5rH/BVvxprGqXN7J4J0GN53MhVZpsDPpzWv4P8A+Cvnjnwc121v4E8PT/aAoPmTzjG3PTDe9fXXjD9jv4L2PibUre3+HWixQxzMqIsRwB6da6r4R/sT/AzXJtUF/wDDTQ7ryhHsEkLcZ3Z7+woA779h39qC8/ay+DMvi7UdFi0LUrTUptOuILWRnhcqqOroW5HyyKCCTypPfA+ia5vwN4B8OfDTw7baB4U0Ox8PaLbljFY6fCsUSljljgdyeSep710l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If/AAU3/wCTe9J/7GK2/wDSe4r8u6/UT/gpv/yb5pX/AGMVt/6T3FfnZ8LvDuk69rd9da60jaNo9hJqV1bxuUe62siRwqwU7d8skSlscKWPUColJQi5S2R0YejUxNWNGkryk0kvN7HHUV63/wALe1eOOS0ttN0G10dnD/2Sui2r2/HAB3RlmOP4ixb3rnfijo+lW8uja1otqun2OtWhuTp6OzpayrI0ciKW527l3KDnAbGTjNeVg8zo42bhTumu597xHwNmfDOGp4rFtOM+zvZ72Zw1HvXffBTwNZ+OPF1wNVDNomk2Muq38aPseaOPaqxKfV5XiQnsHJ7V7LD4yks7f7La6J4ft9L3K/8AZ39i2rwttAA3b4yznA+8zFveu+tiIUWlI/EM44jwmSzhTrpty7du58uV+q//AATb/wCTbo/+wvdfySvzy+N3gnT/AA3qGi6vo9rJZ6Trlq1wtsclLedJGjljRiSSoKqwzyA4HOM1+hv/AATd/wCTbo/+wvdfySuhSUldH0WHr08VRjXpO8ZK6PqmiiimdAUUUUAFFFFABRRRQAUUUUAFFFFABRRRQAUUUUAFFFFABRRRQAVlat4Z03XZI3vrVbhoxhd2eK1aKAOdt/AehWlxFPDp0ccsTh0YE8MDkHrXRUUUAY2reE9J1y4We+s0uJVXaGbPT0qPT/BWi6TeR3dpYRw3Eedsi5yMgg/oTW7RQAVh6l4N0bWLxrq8sY552ABds5OOBW5RQBi6T4T0nQ7hrixs0t5mXYWUnO0kHH6CtqiigDn7zwLoeoXUtzcafHJNK252JPJ9etW9H8N6b4faU2FqtuZcb9uecZx/M1q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If/BTf/k3zSv+xitv/Se4r86Phr4usfCeuXY1azN7ouqWb6dfJGP3qRMyuJYskDejxo4B4O3B65r9Yv2vPglffHr4N3mg6XMI9ZtLmPULFJHCxyyoGUxucHgo7gdMNtJ4zX5qzfsc/Ge3meNvAGpllODsaJl/Ah8GplFSTjLZm1CtPD1I1abtKLTT80Rt8MdPl23lt488KvoLIZfts+oCOdFH8LWhH2jf/srG2exI5rj/AIk+JNM1i70zTdE8yTRtHtvstvczxiOS5YuzySsuTty7HAzkKBnnNdj/AMMf/GX/AKJ9qv5R/wDxVH/DIHxk/wCif6r+Uf8A8VXnYTLqGDm501qz7XP+NM24joQw2NmuSGuitd92cl8I/iEvw68VSXdzbtdaTf2kunajbpje9vIBkoSOHVlR1/2kHbNe2tovh64tjqNl4+8LnRijTC5ur8RXCKCfla0I8/f0+VUYHPBPWvP/APhj/wCMn/RP9V/KP/4qj/hj/wCMv/RPtV/KP/4quurh4VrOXQ/Hs14fwWcyhPEJ3j1Ttp2Oe+M3jjT/ABbrdhY6I8sug6LbGztZ5Qym5JdnknKE/LvZjgddoUHkV+i3/BN3/k26P/sL3X8kr4Nh/Y5+M80ixp8P9S3McDe0Sj8y4A/E1+mX7JHwb1P4H/BnTvDuszxS6q08t3cpCdyRM5HyBv4sBRz6k1vFKKsj36NGGHpRo0laMVZHtNFFFM3CiiigAooooAKKKKACiiigAooooAKKKKACiiigAooooAKKKKACiiigAooooAKKKKACiiigAooooAKKKKACiiigAooooAKKKKACiiigAooooAKKKKAP/9k=">
          <a:extLst>
            <a:ext uri="{FF2B5EF4-FFF2-40B4-BE49-F238E27FC236}">
              <a16:creationId xmlns:a16="http://schemas.microsoft.com/office/drawing/2014/main" id="{00000000-0008-0000-0200-000002040000}"/>
            </a:ext>
          </a:extLst>
        </xdr:cNvPr>
        <xdr:cNvSpPr>
          <a:spLocks noChangeAspect="1" noChangeArrowheads="1"/>
        </xdr:cNvSpPr>
      </xdr:nvSpPr>
      <xdr:spPr bwMode="auto">
        <a:xfrm>
          <a:off x="1447800" y="178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xdr:colOff>
      <xdr:row>4</xdr:row>
      <xdr:rowOff>1</xdr:rowOff>
    </xdr:from>
    <xdr:to>
      <xdr:col>4</xdr:col>
      <xdr:colOff>504826</xdr:colOff>
      <xdr:row>43</xdr:row>
      <xdr:rowOff>76200</xdr:rowOff>
    </xdr:to>
    <xdr:pic>
      <xdr:nvPicPr>
        <xdr:cNvPr id="5" name="Picture 4">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647701"/>
          <a:ext cx="5638800" cy="63912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150</xdr:row>
      <xdr:rowOff>161924</xdr:rowOff>
    </xdr:from>
    <xdr:to>
      <xdr:col>2</xdr:col>
      <xdr:colOff>4187190</xdr:colOff>
      <xdr:row>177</xdr:row>
      <xdr:rowOff>109543</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3936324"/>
          <a:ext cx="4838700" cy="4390079"/>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25</xdr:row>
      <xdr:rowOff>161924</xdr:rowOff>
    </xdr:from>
    <xdr:to>
      <xdr:col>2</xdr:col>
      <xdr:colOff>10677525</xdr:colOff>
      <xdr:row>32</xdr:row>
      <xdr:rowOff>95250</xdr:rowOff>
    </xdr:to>
    <xdr:pic>
      <xdr:nvPicPr>
        <xdr:cNvPr id="2" name="Picture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981449"/>
          <a:ext cx="11687175" cy="2457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45</xdr:row>
      <xdr:rowOff>0</xdr:rowOff>
    </xdr:from>
    <xdr:to>
      <xdr:col>2</xdr:col>
      <xdr:colOff>10658475</xdr:colOff>
      <xdr:row>54</xdr:row>
      <xdr:rowOff>0</xdr:rowOff>
    </xdr:to>
    <xdr:pic>
      <xdr:nvPicPr>
        <xdr:cNvPr id="3" name="Picture 2">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9651" y="8572500"/>
          <a:ext cx="10658474" cy="192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161924</xdr:rowOff>
    </xdr:from>
    <xdr:to>
      <xdr:col>2</xdr:col>
      <xdr:colOff>10675318</xdr:colOff>
      <xdr:row>70</xdr:row>
      <xdr:rowOff>19049</xdr:rowOff>
    </xdr:to>
    <xdr:pic>
      <xdr:nvPicPr>
        <xdr:cNvPr id="4" name="Picture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9650" y="14049374"/>
          <a:ext cx="1067531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371474</xdr:colOff>
      <xdr:row>80</xdr:row>
      <xdr:rowOff>0</xdr:rowOff>
    </xdr:from>
    <xdr:to>
      <xdr:col>3</xdr:col>
      <xdr:colOff>59903</xdr:colOff>
      <xdr:row>85</xdr:row>
      <xdr:rowOff>85725</xdr:rowOff>
    </xdr:to>
    <xdr:pic>
      <xdr:nvPicPr>
        <xdr:cNvPr id="5" name="Picture 4">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81074" y="17402175"/>
          <a:ext cx="10794579"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1112302</xdr:colOff>
      <xdr:row>74</xdr:row>
      <xdr:rowOff>36856</xdr:rowOff>
    </xdr:from>
    <xdr:to>
      <xdr:col>19</xdr:col>
      <xdr:colOff>768710</xdr:colOff>
      <xdr:row>80</xdr:row>
      <xdr:rowOff>123825</xdr:rowOff>
    </xdr:to>
    <xdr:pic>
      <xdr:nvPicPr>
        <xdr:cNvPr id="2" name="Picture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23102" y="15248281"/>
          <a:ext cx="8895658" cy="10585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99060</xdr:colOff>
          <xdr:row>10</xdr:row>
          <xdr:rowOff>30480</xdr:rowOff>
        </xdr:from>
        <xdr:to>
          <xdr:col>14</xdr:col>
          <xdr:colOff>106680</xdr:colOff>
          <xdr:row>12</xdr:row>
          <xdr:rowOff>137160</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1000-0000013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Users\dbinder\AppData\Local\Microsoft\Windows\Temporary%20Internet%20Files\Content.IE5\41K86I2R\87201589-EN-007-Excel%20document%20template%20Chorus%202.0%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binder\AppData\Local\Microsoft\Windows\Temporary%20Internet%20Files\Content.IE5\41K86I2R\87201589-EN-007-Excel%20document%20template%20Chorus%202.0%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Indicate your sheet title here"/>
      <sheetName val="Log of changes and approval"/>
    </sheetNames>
    <sheetDataSet>
      <sheetData sheetId="0">
        <row r="6">
          <cell r="C6" t="str">
            <v>XXXXXXXX-PRO-ORG-LL</v>
          </cell>
        </row>
      </sheetData>
      <sheetData sheetId="1"/>
      <sheetData sheetId="2">
        <row r="36">
          <cell r="N36" t="str">
            <v>0.1 - Govern and Organize</v>
          </cell>
        </row>
        <row r="37">
          <cell r="N37" t="str">
            <v>1.1 - Define the company's global strategy</v>
          </cell>
        </row>
        <row r="38">
          <cell r="N38" t="str">
            <v>1.2 - Manage Research and Technology</v>
          </cell>
        </row>
        <row r="39">
          <cell r="N39" t="str">
            <v>1.3 - Manage the products policy</v>
          </cell>
        </row>
        <row r="40">
          <cell r="N40" t="str">
            <v>2.1 - Manage finance</v>
          </cell>
        </row>
        <row r="41">
          <cell r="N41" t="str">
            <v>2.2 - Map and watch enterprise risks</v>
          </cell>
        </row>
        <row r="42">
          <cell r="N42" t="str">
            <v>2.3 - Manage the industrial policy, the workload and capacity plan</v>
          </cell>
        </row>
        <row r="43">
          <cell r="N43" t="str">
            <v>3.1 - Manage competences</v>
          </cell>
        </row>
        <row r="44">
          <cell r="N44" t="str">
            <v>4.1 - Guarantee quality and support continuous Improvement</v>
          </cell>
        </row>
        <row r="45">
          <cell r="N45" t="str">
            <v>4.2 - Manage documents</v>
          </cell>
        </row>
        <row r="46">
          <cell r="N46" t="str">
            <v>5.1 - Manage Bid</v>
          </cell>
        </row>
        <row r="47">
          <cell r="N47" t="str">
            <v>5.2 - Manage Project</v>
          </cell>
        </row>
        <row r="48">
          <cell r="N48" t="str">
            <v>6.1 - Design, Develop and Qualify the Solution</v>
          </cell>
        </row>
        <row r="49">
          <cell r="N49" t="str">
            <v>7.1a - Manage Acquisition</v>
          </cell>
        </row>
        <row r="50">
          <cell r="N50" t="str">
            <v>7.1b - Manage Offsets</v>
          </cell>
        </row>
        <row r="51">
          <cell r="N51" t="str">
            <v>7.2 - Procure, Make &amp; Deliver</v>
          </cell>
        </row>
        <row r="52">
          <cell r="N52" t="str">
            <v>8.1 - Prepare and Deliver Customer Service</v>
          </cell>
        </row>
        <row r="53">
          <cell r="N53" t="str">
            <v>9.1 - Communicate</v>
          </cell>
        </row>
        <row r="54">
          <cell r="N54" t="str">
            <v>9.2 - Master HSE impacts</v>
          </cell>
        </row>
        <row r="55">
          <cell r="N55" t="str">
            <v>9.3 - Control Export</v>
          </cell>
        </row>
        <row r="56">
          <cell r="N56" t="str">
            <v>9.4 - Ensure people, property and operations security</v>
          </cell>
        </row>
        <row r="57">
          <cell r="N57" t="str">
            <v>9.5 - Manage Real Estate</v>
          </cell>
        </row>
        <row r="58">
          <cell r="N58" t="str">
            <v>9.6 - Manage Information System</v>
          </cell>
        </row>
        <row r="59">
          <cell r="N59" t="str">
            <v>9.7 - Manage Configuration</v>
          </cell>
        </row>
        <row r="60">
          <cell r="N60" t="str">
            <v>9.8 - Legally secure operations and defend the rights of the company</v>
          </cell>
        </row>
        <row r="61">
          <cell r="N61" t="str">
            <v>9.9 - Manage Human Resources</v>
          </cell>
        </row>
        <row r="62">
          <cell r="N62" t="str">
            <v>9.10 - Manage and control operational processes-related financial aspects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Indicate your sheet title here"/>
      <sheetName val="Log of changes and approval"/>
    </sheetNames>
    <sheetDataSet>
      <sheetData sheetId="0">
        <row r="6">
          <cell r="C6" t="str">
            <v>XXXXXXXX-PRO-ORG-LL</v>
          </cell>
        </row>
      </sheetData>
      <sheetData sheetId="1"/>
      <sheetData sheetId="2">
        <row r="36">
          <cell r="N36" t="str">
            <v>0.1 - Govern and Organize</v>
          </cell>
        </row>
        <row r="37">
          <cell r="N37" t="str">
            <v>1.1 - Define the company's global strategy</v>
          </cell>
        </row>
        <row r="38">
          <cell r="N38" t="str">
            <v>1.2 - Manage Research and Technology</v>
          </cell>
        </row>
        <row r="39">
          <cell r="N39" t="str">
            <v>1.3 - Manage the products policy</v>
          </cell>
        </row>
        <row r="40">
          <cell r="N40" t="str">
            <v>2.1 - Manage finance</v>
          </cell>
        </row>
        <row r="41">
          <cell r="N41" t="str">
            <v>2.2 - Map and watch enterprise risks</v>
          </cell>
        </row>
        <row r="42">
          <cell r="N42" t="str">
            <v>2.3 - Manage the industrial policy, the workload and capacity plan</v>
          </cell>
        </row>
        <row r="43">
          <cell r="N43" t="str">
            <v>3.1 - Manage competences</v>
          </cell>
        </row>
        <row r="44">
          <cell r="N44" t="str">
            <v>4.1 - Guarantee quality and support continuous Improvement</v>
          </cell>
        </row>
        <row r="45">
          <cell r="N45" t="str">
            <v>4.2 - Manage documents</v>
          </cell>
        </row>
        <row r="46">
          <cell r="N46" t="str">
            <v>5.1 - Manage Bid</v>
          </cell>
        </row>
        <row r="47">
          <cell r="N47" t="str">
            <v>5.2 - Manage Project</v>
          </cell>
        </row>
        <row r="48">
          <cell r="N48" t="str">
            <v>6.1 - Design, Develop and Qualify the Solution</v>
          </cell>
        </row>
        <row r="49">
          <cell r="N49" t="str">
            <v>7.1a - Manage Acquisition</v>
          </cell>
        </row>
        <row r="50">
          <cell r="N50" t="str">
            <v>7.1b - Manage Offsets</v>
          </cell>
        </row>
        <row r="51">
          <cell r="N51" t="str">
            <v>7.2 - Procure, Make &amp; Deliver</v>
          </cell>
        </row>
        <row r="52">
          <cell r="N52" t="str">
            <v>8.1 - Prepare and Deliver Customer Service</v>
          </cell>
        </row>
        <row r="53">
          <cell r="N53" t="str">
            <v>9.1 - Communicate</v>
          </cell>
        </row>
        <row r="54">
          <cell r="N54" t="str">
            <v>9.2 - Master HSE impacts</v>
          </cell>
        </row>
        <row r="55">
          <cell r="N55" t="str">
            <v>9.3 - Control Export</v>
          </cell>
        </row>
        <row r="56">
          <cell r="N56" t="str">
            <v>9.4 - Ensure people, property and operations security</v>
          </cell>
        </row>
        <row r="57">
          <cell r="N57" t="str">
            <v>9.5 - Manage Real Estate</v>
          </cell>
        </row>
        <row r="58">
          <cell r="N58" t="str">
            <v>9.6 - Manage Information System</v>
          </cell>
        </row>
        <row r="59">
          <cell r="N59" t="str">
            <v>9.7 - Manage Configuration</v>
          </cell>
        </row>
        <row r="60">
          <cell r="N60" t="str">
            <v>9.8 - Legally secure operations and defend the rights of the company</v>
          </cell>
        </row>
        <row r="61">
          <cell r="N61" t="str">
            <v>9.9 - Manage Human Resources</v>
          </cell>
        </row>
        <row r="62">
          <cell r="N62" t="str">
            <v>9.10 - Manage and control operational processes-related financial aspects</v>
          </cell>
        </row>
      </sheetData>
    </sheetDataSet>
  </externalBook>
</externalLink>
</file>

<file path=xl/persons/person.xml><?xml version="1.0" encoding="utf-8"?>
<personList xmlns="http://schemas.microsoft.com/office/spreadsheetml/2018/threadedcomments" xmlns:x="http://schemas.openxmlformats.org/spreadsheetml/2006/main">
  <person displayName="MOSER Florian" id="{B536679D-730D-47C5-8C31-C0859BE01B24}" userId="S::florian.moser@urbanandmainlines.com::8764bf09-d81b-4348-8584-d81c09cb169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5" dT="2026-07-19T18:09:47.56" personId="{B536679D-730D-47C5-8C31-C0859BE01B24}" id="{31FC2133-E853-4DBB-8530-5B24792BE510}">
    <text xml:space="preserve">3600 = Sekunden pro Stunde
</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1.bin"/><Relationship Id="rId1" Type="http://schemas.openxmlformats.org/officeDocument/2006/relationships/hyperlink" Target="https://urbanandmainlines.sharepoint.com/:w:/r/sites/AT-ELEKTRA4.0/Shared%20Documents/3_Systembeschreibungen/DSTW-Zentraleinheit.docx?d=wf507ef15545f4ba8b226dd8720c8190c&amp;csf=1&amp;web=1&amp;e=qUVK3I"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4.xml"/><Relationship Id="rId1" Type="http://schemas.openxmlformats.org/officeDocument/2006/relationships/printerSettings" Target="../printerSettings/printerSettings15.bin"/><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5.xml"/><Relationship Id="rId1" Type="http://schemas.openxmlformats.org/officeDocument/2006/relationships/printerSettings" Target="../printerSettings/printerSettings17.bin"/><Relationship Id="rId5" Type="http://schemas.openxmlformats.org/officeDocument/2006/relationships/image" Target="../media/image11.w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E40"/>
  <sheetViews>
    <sheetView showGridLines="0" view="pageLayout" topLeftCell="A8" zoomScaleNormal="100" zoomScaleSheetLayoutView="100" workbookViewId="0">
      <selection activeCell="C12" sqref="C12"/>
    </sheetView>
  </sheetViews>
  <sheetFormatPr defaultColWidth="11.33203125" defaultRowHeight="13.2"/>
  <cols>
    <col min="1" max="1" width="6.6640625" customWidth="1"/>
    <col min="2" max="2" width="18" customWidth="1"/>
    <col min="3" max="3" width="51.6640625" customWidth="1"/>
    <col min="5" max="5" width="6.6640625" customWidth="1"/>
  </cols>
  <sheetData>
    <row r="4" spans="1:5">
      <c r="A4" s="1"/>
    </row>
    <row r="5" spans="1:5">
      <c r="A5" s="2"/>
      <c r="B5" s="2"/>
      <c r="C5" s="2"/>
      <c r="D5" s="2"/>
      <c r="E5" s="2"/>
    </row>
    <row r="6" spans="1:5">
      <c r="A6" s="2"/>
      <c r="B6" s="2"/>
      <c r="C6" s="2"/>
      <c r="D6" s="2"/>
      <c r="E6" s="2"/>
    </row>
    <row r="7" spans="1:5">
      <c r="A7" s="3"/>
      <c r="B7" s="3"/>
      <c r="C7" s="3"/>
      <c r="D7" s="3"/>
      <c r="E7" s="3"/>
    </row>
    <row r="8" spans="1:5">
      <c r="A8" s="2"/>
      <c r="B8" s="2"/>
      <c r="C8" s="2"/>
      <c r="D8" s="2"/>
      <c r="E8" s="2"/>
    </row>
    <row r="9" spans="1:5" ht="13.8">
      <c r="A9" s="16"/>
      <c r="B9" s="4" t="s">
        <v>0</v>
      </c>
      <c r="C9" s="6" t="s">
        <v>1</v>
      </c>
      <c r="D9" s="5"/>
      <c r="E9" s="17"/>
    </row>
    <row r="10" spans="1:5">
      <c r="A10" s="16"/>
      <c r="B10" s="4"/>
      <c r="C10" s="21"/>
      <c r="D10" s="5"/>
      <c r="E10" s="17"/>
    </row>
    <row r="11" spans="1:5" ht="13.8">
      <c r="A11" s="16"/>
      <c r="B11" s="7" t="s">
        <v>2</v>
      </c>
      <c r="C11" s="6" t="s">
        <v>3</v>
      </c>
      <c r="D11" s="5"/>
      <c r="E11" s="17"/>
    </row>
    <row r="12" spans="1:5">
      <c r="A12" s="16"/>
      <c r="B12" s="7" t="s">
        <v>4</v>
      </c>
      <c r="C12" s="8" t="s">
        <v>5</v>
      </c>
      <c r="D12" s="5"/>
      <c r="E12" s="17"/>
    </row>
    <row r="13" spans="1:5">
      <c r="A13" s="16"/>
      <c r="B13" s="7"/>
      <c r="C13" s="22"/>
      <c r="D13" s="5"/>
      <c r="E13" s="17"/>
    </row>
    <row r="14" spans="1:5" ht="14.25" customHeight="1">
      <c r="A14" s="16"/>
      <c r="B14" s="4" t="s">
        <v>6</v>
      </c>
      <c r="C14" s="10" t="s">
        <v>7</v>
      </c>
      <c r="D14" s="9"/>
      <c r="E14" s="17"/>
    </row>
    <row r="15" spans="1:5" ht="13.8">
      <c r="A15" s="16"/>
      <c r="B15" s="4" t="s">
        <v>8</v>
      </c>
      <c r="C15" s="23"/>
      <c r="D15" s="5"/>
      <c r="E15" s="18"/>
    </row>
    <row r="16" spans="1:5" ht="13.8">
      <c r="A16" s="16"/>
      <c r="B16" s="4" t="s">
        <v>9</v>
      </c>
      <c r="C16" s="24"/>
      <c r="D16" s="5"/>
      <c r="E16" s="18"/>
    </row>
    <row r="17" spans="1:5">
      <c r="A17" s="16"/>
      <c r="B17" s="4"/>
      <c r="C17" s="21"/>
      <c r="D17" s="5"/>
      <c r="E17" s="18"/>
    </row>
    <row r="18" spans="1:5" ht="13.8">
      <c r="A18" s="16"/>
      <c r="B18" s="4" t="s">
        <v>10</v>
      </c>
      <c r="C18" s="10" t="s">
        <v>11</v>
      </c>
      <c r="D18" s="5"/>
      <c r="E18" s="18"/>
    </row>
    <row r="19" spans="1:5">
      <c r="A19" s="19"/>
      <c r="B19" s="4" t="s">
        <v>12</v>
      </c>
      <c r="C19" s="21"/>
      <c r="D19" s="5"/>
      <c r="E19" s="17"/>
    </row>
    <row r="20" spans="1:5">
      <c r="A20" s="16"/>
      <c r="B20" s="4" t="s">
        <v>13</v>
      </c>
      <c r="C20" s="21"/>
      <c r="D20" s="5"/>
      <c r="E20" s="17"/>
    </row>
    <row r="21" spans="1:5">
      <c r="A21" s="16"/>
      <c r="B21" s="4" t="s">
        <v>14</v>
      </c>
      <c r="C21" s="21"/>
      <c r="D21" s="5"/>
      <c r="E21" s="17"/>
    </row>
    <row r="22" spans="1:5">
      <c r="A22" s="16"/>
      <c r="B22" s="4"/>
      <c r="C22" s="21"/>
      <c r="D22" s="5"/>
      <c r="E22" s="17"/>
    </row>
    <row r="23" spans="1:5" ht="13.8">
      <c r="A23" s="16"/>
      <c r="B23" s="4" t="s">
        <v>15</v>
      </c>
      <c r="C23" s="10" t="s">
        <v>16</v>
      </c>
      <c r="D23" s="5"/>
      <c r="E23" s="17"/>
    </row>
    <row r="24" spans="1:5">
      <c r="A24" s="16"/>
      <c r="B24" s="4"/>
      <c r="C24" s="21"/>
      <c r="D24" s="5"/>
      <c r="E24" s="17"/>
    </row>
    <row r="25" spans="1:5">
      <c r="A25" s="16"/>
      <c r="B25" s="4" t="s">
        <v>17</v>
      </c>
      <c r="C25" s="21"/>
      <c r="D25" s="5"/>
      <c r="E25" s="18"/>
    </row>
    <row r="26" spans="1:5">
      <c r="A26" s="16"/>
      <c r="B26" s="4" t="s">
        <v>18</v>
      </c>
      <c r="C26" s="21"/>
      <c r="D26" s="5"/>
      <c r="E26" s="18"/>
    </row>
    <row r="27" spans="1:5">
      <c r="A27" s="20"/>
      <c r="B27" s="4"/>
      <c r="C27" s="21"/>
      <c r="D27" s="5"/>
      <c r="E27" s="18"/>
    </row>
    <row r="28" spans="1:5" ht="13.8">
      <c r="A28" s="2"/>
      <c r="B28" s="4" t="s">
        <v>19</v>
      </c>
      <c r="C28" s="10"/>
      <c r="D28" s="11"/>
      <c r="E28" s="2"/>
    </row>
    <row r="29" spans="1:5" ht="13.8">
      <c r="A29" s="2"/>
      <c r="B29" s="4" t="s">
        <v>20</v>
      </c>
      <c r="C29" s="25">
        <v>45057</v>
      </c>
      <c r="D29" s="12"/>
      <c r="E29" s="2"/>
    </row>
    <row r="30" spans="1:5">
      <c r="A30" s="2"/>
      <c r="B30" s="4" t="s">
        <v>21</v>
      </c>
      <c r="C30" s="21"/>
      <c r="D30" s="5"/>
      <c r="E30" s="2"/>
    </row>
    <row r="31" spans="1:5">
      <c r="A31" s="2"/>
      <c r="B31" s="2"/>
      <c r="C31" s="2"/>
      <c r="D31" s="2"/>
      <c r="E31" s="2"/>
    </row>
    <row r="32" spans="1:5">
      <c r="A32" s="2"/>
      <c r="B32" s="2"/>
      <c r="C32" s="2"/>
      <c r="D32" s="2"/>
      <c r="E32" s="2"/>
    </row>
    <row r="33" spans="1:5">
      <c r="A33" s="2"/>
      <c r="B33" s="2"/>
      <c r="C33" s="2"/>
      <c r="D33" s="2"/>
      <c r="E33" s="2"/>
    </row>
    <row r="34" spans="1:5">
      <c r="A34" s="13"/>
      <c r="B34" s="13"/>
      <c r="C34" s="13"/>
      <c r="D34" s="13"/>
      <c r="E34" s="13"/>
    </row>
    <row r="35" spans="1:5">
      <c r="A35" s="13"/>
      <c r="B35" s="13"/>
      <c r="C35" s="13"/>
      <c r="D35" s="13"/>
      <c r="E35" s="13"/>
    </row>
    <row r="36" spans="1:5">
      <c r="A36" s="13"/>
      <c r="B36" s="13"/>
      <c r="C36" s="13"/>
      <c r="D36" s="13"/>
      <c r="E36" s="13"/>
    </row>
    <row r="37" spans="1:5">
      <c r="A37" s="13"/>
      <c r="B37" s="14" t="s">
        <v>22</v>
      </c>
      <c r="C37" s="27" t="s">
        <v>23</v>
      </c>
      <c r="D37" s="14" t="s">
        <v>20</v>
      </c>
      <c r="E37" s="13"/>
    </row>
    <row r="38" spans="1:5" ht="30" customHeight="1">
      <c r="A38" s="13"/>
      <c r="B38" s="15" t="s">
        <v>24</v>
      </c>
      <c r="C38" s="26" t="s">
        <v>25</v>
      </c>
      <c r="D38" s="104">
        <v>45057</v>
      </c>
      <c r="E38" s="13"/>
    </row>
    <row r="39" spans="1:5" ht="30" customHeight="1">
      <c r="A39" s="13"/>
      <c r="B39" s="15" t="s">
        <v>26</v>
      </c>
      <c r="C39" s="26" t="s">
        <v>27</v>
      </c>
      <c r="D39" s="15" t="s">
        <v>28</v>
      </c>
      <c r="E39" s="13"/>
    </row>
    <row r="40" spans="1:5" ht="30" customHeight="1">
      <c r="A40" s="13"/>
      <c r="B40" s="15" t="s">
        <v>29</v>
      </c>
      <c r="C40" s="26" t="s">
        <v>27</v>
      </c>
      <c r="D40" s="15" t="s">
        <v>28</v>
      </c>
      <c r="E40" s="13"/>
    </row>
  </sheetData>
  <phoneticPr fontId="0" type="noConversion"/>
  <printOptions horizontalCentered="1"/>
  <pageMargins left="0.19685039370078741" right="0.19685039370078741" top="0.39370078740157483" bottom="0.39370078740157483" header="0.19685039370078741" footer="0.19685039370078741"/>
  <pageSetup paperSize="9" fitToWidth="0" fitToHeight="0" orientation="portrait" r:id="rId1"/>
  <headerFooter alignWithMargins="0">
    <oddHeader>&amp;C&amp;G&amp;L&amp;"Arial Black"&amp;10&amp;K76923C&amp;1#</oddHeader>
    <oddFooter>&amp;L&amp;9TRN: xxxx-xxxxxxxxxx
ANV: 3BU XXXXX XXXX XXXXX&amp;R&amp;8&amp;P/&amp;N
Template: 83530213-DOC-AUT-EN / 002&amp;C&amp;"Calibri"&amp;11&amp;K000000&amp;"Calibri"&amp;11&amp;K000000&amp;9©THALES All Rights Reserved _x000D_&amp;1#&amp;"Arial Black"&amp;10&amp;K76923C{Hitachi Rail – Internal}</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37"/>
  <sheetViews>
    <sheetView showGridLines="0" view="pageLayout" zoomScaleNormal="100" zoomScaleSheetLayoutView="100" workbookViewId="0">
      <selection activeCell="B9" sqref="B9"/>
    </sheetView>
  </sheetViews>
  <sheetFormatPr defaultColWidth="11.33203125" defaultRowHeight="13.2"/>
  <cols>
    <col min="1" max="1" width="7.44140625" style="47" customWidth="1"/>
    <col min="3" max="5" width="20.5546875" customWidth="1"/>
    <col min="6" max="6" width="17.44140625" bestFit="1" customWidth="1"/>
  </cols>
  <sheetData>
    <row r="4" spans="1:6">
      <c r="A4" s="43"/>
    </row>
    <row r="5" spans="1:6" ht="13.8">
      <c r="A5" s="457" t="s">
        <v>30</v>
      </c>
      <c r="B5" s="457"/>
      <c r="C5" s="457"/>
      <c r="D5" s="457"/>
      <c r="E5" s="13"/>
      <c r="F5" s="13"/>
    </row>
    <row r="6" spans="1:6">
      <c r="A6" s="44"/>
      <c r="B6" s="13"/>
      <c r="C6" s="13"/>
      <c r="D6" s="13"/>
      <c r="E6" s="13"/>
      <c r="F6" s="13"/>
    </row>
    <row r="7" spans="1:6">
      <c r="A7" s="45" t="s">
        <v>31</v>
      </c>
      <c r="B7" s="28" t="s">
        <v>20</v>
      </c>
      <c r="C7" s="28" t="s">
        <v>32</v>
      </c>
      <c r="D7" s="28" t="s">
        <v>33</v>
      </c>
      <c r="E7" s="28" t="s">
        <v>34</v>
      </c>
      <c r="F7" s="28" t="s">
        <v>35</v>
      </c>
    </row>
    <row r="8" spans="1:6">
      <c r="A8" s="40" t="s">
        <v>36</v>
      </c>
      <c r="B8" s="29">
        <v>45057</v>
      </c>
      <c r="C8" s="30" t="s">
        <v>37</v>
      </c>
      <c r="D8" s="30" t="s">
        <v>38</v>
      </c>
      <c r="E8" s="30" t="s">
        <v>38</v>
      </c>
      <c r="F8" s="31" t="s">
        <v>39</v>
      </c>
    </row>
    <row r="9" spans="1:6">
      <c r="A9" s="41"/>
      <c r="B9" s="32"/>
      <c r="C9" s="33" t="s">
        <v>40</v>
      </c>
      <c r="D9" s="33" t="s">
        <v>41</v>
      </c>
      <c r="E9" s="33" t="s">
        <v>41</v>
      </c>
      <c r="F9" s="32"/>
    </row>
    <row r="10" spans="1:6">
      <c r="A10" s="41"/>
      <c r="B10" s="32"/>
      <c r="C10" s="33" t="s">
        <v>42</v>
      </c>
      <c r="D10" s="33" t="s">
        <v>43</v>
      </c>
      <c r="E10" s="33" t="s">
        <v>43</v>
      </c>
      <c r="F10" s="32"/>
    </row>
    <row r="11" spans="1:6">
      <c r="A11" s="41"/>
      <c r="B11" s="32"/>
      <c r="C11" s="33"/>
      <c r="D11" s="33"/>
      <c r="E11" s="33"/>
      <c r="F11" s="32"/>
    </row>
    <row r="12" spans="1:6">
      <c r="A12" s="41"/>
      <c r="B12" s="32"/>
      <c r="C12" s="33"/>
      <c r="D12" s="32"/>
      <c r="E12" s="32"/>
      <c r="F12" s="32"/>
    </row>
    <row r="13" spans="1:6">
      <c r="A13" s="42"/>
      <c r="B13" s="34"/>
      <c r="C13" s="35"/>
      <c r="D13" s="34"/>
      <c r="E13" s="34"/>
      <c r="F13" s="34"/>
    </row>
    <row r="14" spans="1:6">
      <c r="A14" s="40"/>
      <c r="B14" s="36"/>
      <c r="C14" s="30"/>
      <c r="D14" s="30"/>
      <c r="E14" s="30"/>
      <c r="F14" s="31"/>
    </row>
    <row r="15" spans="1:6">
      <c r="A15" s="41"/>
      <c r="B15" s="32"/>
      <c r="C15" s="33"/>
      <c r="D15" s="33"/>
      <c r="E15" s="33"/>
      <c r="F15" s="32"/>
    </row>
    <row r="16" spans="1:6">
      <c r="A16" s="41"/>
      <c r="B16" s="32"/>
      <c r="C16" s="33"/>
      <c r="D16" s="33"/>
      <c r="E16" s="33"/>
      <c r="F16" s="32"/>
    </row>
    <row r="17" spans="1:6">
      <c r="A17" s="41"/>
      <c r="B17" s="32"/>
      <c r="C17" s="33"/>
      <c r="D17" s="33"/>
      <c r="E17" s="33"/>
      <c r="F17" s="32"/>
    </row>
    <row r="18" spans="1:6">
      <c r="A18" s="41"/>
      <c r="B18" s="32"/>
      <c r="C18" s="32"/>
      <c r="D18" s="32"/>
      <c r="E18" s="32"/>
      <c r="F18" s="32"/>
    </row>
    <row r="19" spans="1:6">
      <c r="A19" s="42"/>
      <c r="B19" s="34"/>
      <c r="C19" s="34"/>
      <c r="D19" s="34"/>
      <c r="E19" s="34"/>
      <c r="F19" s="34"/>
    </row>
    <row r="20" spans="1:6">
      <c r="A20" s="40"/>
      <c r="B20" s="36"/>
      <c r="C20" s="30"/>
      <c r="D20" s="30"/>
      <c r="E20" s="30"/>
      <c r="F20" s="31"/>
    </row>
    <row r="21" spans="1:6">
      <c r="A21" s="46"/>
      <c r="B21" s="37"/>
      <c r="C21" s="38"/>
      <c r="D21" s="38"/>
      <c r="E21" s="38"/>
      <c r="F21" s="39"/>
    </row>
    <row r="22" spans="1:6">
      <c r="A22" s="41"/>
      <c r="B22" s="32"/>
      <c r="C22" s="33"/>
      <c r="D22" s="33"/>
      <c r="E22" s="33"/>
      <c r="F22" s="32"/>
    </row>
    <row r="23" spans="1:6">
      <c r="A23" s="41"/>
      <c r="B23" s="32"/>
      <c r="C23" s="33"/>
      <c r="D23" s="33"/>
      <c r="E23" s="33"/>
      <c r="F23" s="32"/>
    </row>
    <row r="24" spans="1:6">
      <c r="A24" s="41"/>
      <c r="B24" s="32"/>
      <c r="C24" s="32"/>
      <c r="D24" s="32"/>
      <c r="E24" s="32"/>
      <c r="F24" s="32"/>
    </row>
    <row r="25" spans="1:6">
      <c r="A25" s="42"/>
      <c r="B25" s="34"/>
      <c r="C25" s="34"/>
      <c r="D25" s="34"/>
      <c r="E25" s="34"/>
      <c r="F25" s="34"/>
    </row>
    <row r="26" spans="1:6">
      <c r="A26" s="40"/>
      <c r="B26" s="36"/>
      <c r="C26" s="30"/>
      <c r="D26" s="30"/>
      <c r="E26" s="30"/>
      <c r="F26" s="31"/>
    </row>
    <row r="27" spans="1:6">
      <c r="A27" s="41"/>
      <c r="B27" s="32"/>
      <c r="C27" s="33"/>
      <c r="D27" s="33"/>
      <c r="E27" s="33"/>
      <c r="F27" s="32"/>
    </row>
    <row r="28" spans="1:6">
      <c r="A28" s="41"/>
      <c r="B28" s="32"/>
      <c r="C28" s="33"/>
      <c r="D28" s="33"/>
      <c r="E28" s="33"/>
      <c r="F28" s="32"/>
    </row>
    <row r="29" spans="1:6">
      <c r="A29" s="41"/>
      <c r="B29" s="32"/>
      <c r="C29" s="33"/>
      <c r="D29" s="33"/>
      <c r="E29" s="33"/>
      <c r="F29" s="32"/>
    </row>
    <row r="30" spans="1:6">
      <c r="A30" s="41"/>
      <c r="B30" s="32"/>
      <c r="C30" s="32"/>
      <c r="D30" s="32"/>
      <c r="E30" s="32"/>
      <c r="F30" s="32"/>
    </row>
    <row r="31" spans="1:6">
      <c r="A31" s="42"/>
      <c r="B31" s="34"/>
      <c r="C31" s="34"/>
      <c r="D31" s="34"/>
      <c r="E31" s="34"/>
      <c r="F31" s="34"/>
    </row>
    <row r="32" spans="1:6">
      <c r="A32" s="40"/>
      <c r="B32" s="36"/>
      <c r="C32" s="30"/>
      <c r="D32" s="30"/>
      <c r="E32" s="30"/>
      <c r="F32" s="31"/>
    </row>
    <row r="33" spans="1:6">
      <c r="A33" s="46"/>
      <c r="B33" s="37"/>
      <c r="C33" s="38"/>
      <c r="D33" s="38"/>
      <c r="E33" s="38"/>
      <c r="F33" s="39"/>
    </row>
    <row r="34" spans="1:6">
      <c r="A34" s="41"/>
      <c r="B34" s="32"/>
      <c r="C34" s="33"/>
      <c r="D34" s="33"/>
      <c r="E34" s="33"/>
      <c r="F34" s="32"/>
    </row>
    <row r="35" spans="1:6">
      <c r="A35" s="41"/>
      <c r="B35" s="32"/>
      <c r="C35" s="33"/>
      <c r="D35" s="33"/>
      <c r="E35" s="33"/>
      <c r="F35" s="32"/>
    </row>
    <row r="36" spans="1:6">
      <c r="A36" s="41"/>
      <c r="B36" s="32"/>
      <c r="C36" s="32"/>
      <c r="D36" s="32"/>
      <c r="E36" s="32"/>
      <c r="F36" s="32"/>
    </row>
    <row r="37" spans="1:6">
      <c r="A37" s="42"/>
      <c r="B37" s="34"/>
      <c r="C37" s="34"/>
      <c r="D37" s="34"/>
      <c r="E37" s="34"/>
      <c r="F37" s="34"/>
    </row>
  </sheetData>
  <mergeCells count="1">
    <mergeCell ref="A5:D5"/>
  </mergeCells>
  <printOptions horizontalCentered="1"/>
  <pageMargins left="0.19685039370078741" right="0.19685039370078741" top="0.39370078740157483" bottom="0.39370078740157483" header="0.19685039370078741" footer="0.19685039370078741"/>
  <pageSetup paperSize="9" fitToWidth="0" fitToHeight="0" orientation="portrait" r:id="rId1"/>
  <headerFooter alignWithMargins="0">
    <oddHeader>&amp;C&amp;G&amp;L&amp;"Arial Black"&amp;10&amp;K76923C&amp;1#</oddHeader>
    <oddFooter>&amp;L&amp;9TRN: xxxx-xxxxxxxxxx
ANV: 3BU XXXXX XXXX XXXXX&amp;R&amp;8&amp;P/&amp;N
Template: 83530213-DOC-AUT-EN / 002&amp;C&amp;"Calibri"&amp;11&amp;K000000&amp;9©THALES All Rights Reserved _x000D_&amp;1#&amp;"Arial Black"&amp;10&amp;K76923C{Hitachi Rail – Internal}</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E53"/>
  <sheetViews>
    <sheetView showGridLines="0" topLeftCell="A43" zoomScale="130" zoomScaleNormal="130" zoomScaleSheetLayoutView="100" zoomScalePageLayoutView="145" workbookViewId="0">
      <selection activeCell="D4" sqref="D4"/>
    </sheetView>
  </sheetViews>
  <sheetFormatPr defaultColWidth="11.44140625" defaultRowHeight="13.2"/>
  <cols>
    <col min="1" max="1" width="15.33203125" customWidth="1"/>
    <col min="2" max="2" width="5.33203125" customWidth="1"/>
    <col min="3" max="3" width="38.33203125" bestFit="1" customWidth="1"/>
    <col min="4" max="4" width="18.109375" customWidth="1"/>
  </cols>
  <sheetData>
    <row r="4" spans="1:1">
      <c r="A4" s="1"/>
    </row>
    <row r="35" spans="1:5">
      <c r="A35" s="49"/>
    </row>
    <row r="37" spans="1:5">
      <c r="A37" s="460"/>
      <c r="B37" s="49"/>
      <c r="C37" s="49"/>
      <c r="D37" s="459"/>
      <c r="E37" s="459"/>
    </row>
    <row r="38" spans="1:5">
      <c r="A38" s="460"/>
      <c r="B38" s="49"/>
      <c r="C38" s="49"/>
      <c r="D38" s="459"/>
      <c r="E38" s="459"/>
    </row>
    <row r="39" spans="1:5">
      <c r="C39" s="49"/>
    </row>
    <row r="40" spans="1:5">
      <c r="A40" s="460"/>
      <c r="B40" s="49"/>
      <c r="C40" s="49"/>
      <c r="D40" s="459"/>
      <c r="E40" s="459"/>
    </row>
    <row r="41" spans="1:5">
      <c r="A41" s="460"/>
      <c r="B41" s="49"/>
      <c r="C41" s="49"/>
      <c r="D41" s="459"/>
      <c r="E41" s="459"/>
    </row>
    <row r="45" spans="1:5">
      <c r="A45" s="53" t="s">
        <v>44</v>
      </c>
    </row>
    <row r="46" spans="1:5">
      <c r="A46" s="53"/>
    </row>
    <row r="47" spans="1:5">
      <c r="A47" s="64" t="s">
        <v>45</v>
      </c>
    </row>
    <row r="48" spans="1:5" ht="24" customHeight="1">
      <c r="A48" s="458" t="s">
        <v>46</v>
      </c>
      <c r="B48" s="458"/>
      <c r="C48" s="458"/>
      <c r="D48" s="458"/>
      <c r="E48" s="458"/>
    </row>
    <row r="49" spans="1:5" ht="25.5" customHeight="1">
      <c r="A49" s="458"/>
      <c r="B49" s="458"/>
      <c r="C49" s="458"/>
      <c r="D49" s="458"/>
      <c r="E49" s="458"/>
    </row>
    <row r="50" spans="1:5" ht="31.5" customHeight="1">
      <c r="A50" s="64" t="s">
        <v>47</v>
      </c>
    </row>
    <row r="51" spans="1:5" ht="33" customHeight="1">
      <c r="A51" s="458" t="s">
        <v>48</v>
      </c>
      <c r="B51" s="458"/>
      <c r="C51" s="458"/>
      <c r="D51" s="458"/>
      <c r="E51" s="458"/>
    </row>
    <row r="52" spans="1:5" ht="50.25" customHeight="1">
      <c r="A52" s="458"/>
      <c r="B52" s="458"/>
      <c r="C52" s="458"/>
      <c r="D52" s="458"/>
      <c r="E52" s="458"/>
    </row>
    <row r="53" spans="1:5" ht="67.5" customHeight="1">
      <c r="A53" s="65"/>
    </row>
  </sheetData>
  <mergeCells count="6">
    <mergeCell ref="A48:E49"/>
    <mergeCell ref="A51:E52"/>
    <mergeCell ref="D37:E38"/>
    <mergeCell ref="A37:A38"/>
    <mergeCell ref="A40:A41"/>
    <mergeCell ref="D40:E41"/>
  </mergeCells>
  <printOptions horizontalCentered="1"/>
  <pageMargins left="0.19685039370078741" right="0.19685039370078741" top="0.39370078740157483" bottom="0.39370078740157483" header="0.19685039370078741" footer="0.19685039370078741"/>
  <pageSetup paperSize="9" scale="92" fitToWidth="0" fitToHeight="0" orientation="portrait" r:id="rId1"/>
  <headerFooter alignWithMargins="0">
    <oddHeader>&amp;C&amp;G&amp;L&amp;"Arial Black"&amp;10&amp;K76923C&amp;1#</oddHeader>
    <oddFooter>&amp;L&amp;9TRN: xxxx-xxxxxxxxxx
ANV: 3BU XXXXX XXXX XXXXX&amp;R&amp;8&amp;P/&amp;N
Template: 83530213-DOC-AUT-EN / 002&amp;C&amp;"Calibri"&amp;11&amp;K000000&amp;9©THALES All Rights Reserved _x000D_&amp;1#&amp;"Arial Black"&amp;10&amp;K76923C{Hitachi Rail – Internal}</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80D34-27A3-407A-9A3B-088D27D99AA5}">
  <dimension ref="B7:J40"/>
  <sheetViews>
    <sheetView showGridLines="0" zoomScaleNormal="100" zoomScaleSheetLayoutView="100" zoomScalePageLayoutView="115" workbookViewId="0">
      <selection activeCell="E16" sqref="E16"/>
    </sheetView>
  </sheetViews>
  <sheetFormatPr defaultColWidth="11.44140625" defaultRowHeight="13.2"/>
  <cols>
    <col min="1" max="1" width="8.6640625" customWidth="1"/>
    <col min="2" max="2" width="14" customWidth="1"/>
    <col min="3" max="3" width="20.88671875" customWidth="1"/>
    <col min="4" max="4" width="14.44140625" bestFit="1" customWidth="1"/>
  </cols>
  <sheetData>
    <row r="7" spans="2:10">
      <c r="B7" s="461" t="s">
        <v>49</v>
      </c>
      <c r="C7" s="461" t="s">
        <v>49</v>
      </c>
      <c r="D7" s="51"/>
      <c r="E7" s="463" t="s">
        <v>50</v>
      </c>
      <c r="F7" s="463" t="s">
        <v>51</v>
      </c>
      <c r="G7" s="463" t="s">
        <v>52</v>
      </c>
    </row>
    <row r="8" spans="2:10" ht="24.75" customHeight="1">
      <c r="B8" s="462"/>
      <c r="C8" s="462"/>
      <c r="D8" s="52"/>
      <c r="E8" s="464"/>
      <c r="F8" s="464"/>
      <c r="G8" s="464"/>
    </row>
    <row r="9" spans="2:10">
      <c r="B9" s="50" t="s">
        <v>53</v>
      </c>
      <c r="C9" s="50" t="s">
        <v>54</v>
      </c>
      <c r="D9" s="50" t="s">
        <v>55</v>
      </c>
      <c r="E9" s="50">
        <v>4235</v>
      </c>
      <c r="F9" s="50">
        <f t="shared" ref="F9:F16" si="0">1/(E9*nano)</f>
        <v>236127.50885478157</v>
      </c>
      <c r="G9" s="50">
        <f t="shared" ref="G9:G16" si="1">1/(E9*0.000000001*hours_per_year)</f>
        <v>26.955195074746754</v>
      </c>
    </row>
    <row r="10" spans="2:10">
      <c r="B10" s="50" t="s">
        <v>53</v>
      </c>
      <c r="C10" s="50" t="s">
        <v>56</v>
      </c>
      <c r="D10" s="50" t="s">
        <v>55</v>
      </c>
      <c r="E10" s="50">
        <v>4235</v>
      </c>
      <c r="F10" s="50">
        <f t="shared" si="0"/>
        <v>236127.50885478157</v>
      </c>
      <c r="G10" s="50">
        <f t="shared" si="1"/>
        <v>26.955195074746754</v>
      </c>
      <c r="J10" s="49"/>
    </row>
    <row r="11" spans="2:10">
      <c r="B11" s="50" t="s">
        <v>53</v>
      </c>
      <c r="C11" s="50" t="s">
        <v>57</v>
      </c>
      <c r="D11" s="50" t="s">
        <v>55</v>
      </c>
      <c r="E11" s="50">
        <v>4235</v>
      </c>
      <c r="F11" s="50">
        <f t="shared" si="0"/>
        <v>236127.50885478157</v>
      </c>
      <c r="G11" s="50">
        <f t="shared" si="1"/>
        <v>26.955195074746754</v>
      </c>
      <c r="J11" s="49"/>
    </row>
    <row r="12" spans="2:10">
      <c r="B12" s="50" t="s">
        <v>53</v>
      </c>
      <c r="C12" s="50" t="s">
        <v>54</v>
      </c>
      <c r="D12" s="50" t="s">
        <v>58</v>
      </c>
      <c r="E12" s="50">
        <f>Control_Plane*0.05</f>
        <v>211.75</v>
      </c>
      <c r="F12" s="50">
        <f t="shared" ref="F12:F14" si="2">1/(E12*nano)</f>
        <v>4722550.1770956321</v>
      </c>
      <c r="G12" s="50">
        <f t="shared" ref="G12:G14" si="3">1/(E12*0.000000001*hours_per_year)</f>
        <v>539.10390149493514</v>
      </c>
      <c r="J12" s="49"/>
    </row>
    <row r="13" spans="2:10">
      <c r="B13" s="50" t="s">
        <v>53</v>
      </c>
      <c r="C13" s="50" t="s">
        <v>56</v>
      </c>
      <c r="D13" s="50" t="s">
        <v>58</v>
      </c>
      <c r="E13" s="50">
        <f>Server_Master*0.05</f>
        <v>211.75</v>
      </c>
      <c r="F13" s="50">
        <f t="shared" si="2"/>
        <v>4722550.1770956321</v>
      </c>
      <c r="G13" s="50">
        <f t="shared" si="3"/>
        <v>539.10390149493514</v>
      </c>
      <c r="J13" s="49"/>
    </row>
    <row r="14" spans="2:10">
      <c r="B14" s="50" t="s">
        <v>53</v>
      </c>
      <c r="C14" s="50" t="s">
        <v>57</v>
      </c>
      <c r="D14" s="50" t="s">
        <v>58</v>
      </c>
      <c r="E14" s="50">
        <f>Data_Storage*0.05</f>
        <v>211.75</v>
      </c>
      <c r="F14" s="50">
        <f t="shared" si="2"/>
        <v>4722550.1770956321</v>
      </c>
      <c r="G14" s="50">
        <f t="shared" si="3"/>
        <v>539.10390149493514</v>
      </c>
      <c r="J14" s="49"/>
    </row>
    <row r="15" spans="2:10">
      <c r="B15" s="50"/>
      <c r="C15" s="50"/>
      <c r="D15" s="50"/>
      <c r="E15" s="50"/>
      <c r="F15" s="50"/>
      <c r="G15" s="50"/>
      <c r="J15" s="49"/>
    </row>
    <row r="16" spans="2:10">
      <c r="B16" s="50"/>
      <c r="C16" s="50" t="s">
        <v>59</v>
      </c>
      <c r="D16" s="50" t="s">
        <v>60</v>
      </c>
      <c r="E16" s="50">
        <v>9626</v>
      </c>
      <c r="F16" s="50">
        <f t="shared" si="0"/>
        <v>103885.31061707874</v>
      </c>
      <c r="G16" s="50">
        <f t="shared" si="1"/>
        <v>11.859053723410813</v>
      </c>
      <c r="J16" s="49"/>
    </row>
    <row r="17" spans="2:10">
      <c r="B17" s="50"/>
      <c r="C17" s="50" t="s">
        <v>61</v>
      </c>
      <c r="D17" s="50" t="s">
        <v>60</v>
      </c>
      <c r="E17" s="107">
        <f>2*(Switch*nano)^2*MTTR_8h/nano</f>
        <v>1.482558016</v>
      </c>
      <c r="F17" s="50">
        <f t="shared" ref="F17" si="4">1/(E17*nano)</f>
        <v>674509860.12543333</v>
      </c>
      <c r="G17" s="50">
        <f t="shared" ref="G17" si="5">1/(E17*0.000000001*hours_per_year)</f>
        <v>76998.842480072286</v>
      </c>
      <c r="J17" s="49"/>
    </row>
    <row r="18" spans="2:10" ht="12" customHeight="1"/>
    <row r="19" spans="2:10">
      <c r="C19" s="105" t="s">
        <v>62</v>
      </c>
    </row>
    <row r="20" spans="2:10">
      <c r="C20" s="106" t="s">
        <v>63</v>
      </c>
    </row>
    <row r="21" spans="2:10">
      <c r="C21" s="105" t="s">
        <v>64</v>
      </c>
    </row>
    <row r="24" spans="2:10">
      <c r="B24" s="66"/>
      <c r="C24" s="231" t="s">
        <v>65</v>
      </c>
      <c r="D24" s="231" t="s">
        <v>66</v>
      </c>
    </row>
    <row r="25" spans="2:10">
      <c r="B25" s="231" t="s">
        <v>67</v>
      </c>
      <c r="C25" s="66">
        <v>99.998999999999995</v>
      </c>
      <c r="D25" s="66">
        <v>5.3</v>
      </c>
    </row>
    <row r="26" spans="2:10">
      <c r="B26" s="231" t="s">
        <v>68</v>
      </c>
      <c r="C26" s="66">
        <v>99.995000000000005</v>
      </c>
      <c r="D26" s="66">
        <v>26.3</v>
      </c>
    </row>
    <row r="27" spans="2:10">
      <c r="B27" s="231" t="s">
        <v>69</v>
      </c>
      <c r="C27" s="66">
        <v>99.99315</v>
      </c>
      <c r="D27" s="66">
        <v>36</v>
      </c>
    </row>
    <row r="33" ht="12.75" customHeight="1"/>
    <row r="37" ht="12.75" customHeight="1"/>
    <row r="40" ht="12.75" customHeight="1"/>
  </sheetData>
  <mergeCells count="5">
    <mergeCell ref="C7:C8"/>
    <mergeCell ref="B7:B8"/>
    <mergeCell ref="E7:E8"/>
    <mergeCell ref="F7:F8"/>
    <mergeCell ref="G7:G8"/>
  </mergeCells>
  <printOptions horizontalCentered="1" verticalCentered="1"/>
  <pageMargins left="0.19685039370078741" right="0.19685039370078741" top="0.39370078740157483" bottom="0.39370078740157483" header="0.19685039370078741" footer="0.19685039370078741"/>
  <pageSetup paperSize="9" scale="89" orientation="landscape" r:id="rId1"/>
  <headerFooter alignWithMargins="0">
    <oddHeader>&amp;C&amp;G&amp;L&amp;"Arial Black"&amp;10&amp;K76923C&amp;1#</oddHeader>
    <oddFooter>&amp;L&amp;9TRN: xxxx-xxxxxxxxxx
ANV: 3BU XXXXX XXXX XXXXX&amp;C&amp;9©THALES All Rights Reserved &amp;R&amp;8&amp;P/&amp;N
Template: 83530213-DOC-AUT-EN / 002</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EC87C-6CD1-4FC3-95BD-B51BDBF865DE}">
  <dimension ref="B6:R46"/>
  <sheetViews>
    <sheetView showGridLines="0" topLeftCell="A8" zoomScaleNormal="100" zoomScaleSheetLayoutView="100" zoomScalePageLayoutView="130" workbookViewId="0">
      <selection activeCell="C43" sqref="C43"/>
    </sheetView>
  </sheetViews>
  <sheetFormatPr defaultColWidth="11.44140625" defaultRowHeight="13.2"/>
  <cols>
    <col min="1" max="1" width="8.6640625" customWidth="1"/>
    <col min="2" max="2" width="7.6640625" customWidth="1"/>
    <col min="3" max="3" width="20" customWidth="1"/>
    <col min="4" max="4" width="7" bestFit="1" customWidth="1"/>
    <col min="10" max="10" width="13.109375" hidden="1" customWidth="1"/>
    <col min="11" max="11" width="16.44140625" customWidth="1"/>
  </cols>
  <sheetData>
    <row r="6" spans="2:15" ht="13.8" thickBot="1"/>
    <row r="7" spans="2:15">
      <c r="B7" s="472" t="s">
        <v>70</v>
      </c>
      <c r="C7" s="468" t="s">
        <v>71</v>
      </c>
      <c r="D7" s="468" t="s">
        <v>72</v>
      </c>
      <c r="E7" s="468" t="s">
        <v>73</v>
      </c>
      <c r="F7" s="470" t="s">
        <v>50</v>
      </c>
      <c r="G7" s="470" t="s">
        <v>51</v>
      </c>
      <c r="H7" s="470" t="s">
        <v>52</v>
      </c>
      <c r="I7" s="470" t="s">
        <v>74</v>
      </c>
      <c r="J7" s="470" t="s">
        <v>75</v>
      </c>
      <c r="K7" s="470" t="s">
        <v>76</v>
      </c>
      <c r="L7" s="470" t="s">
        <v>77</v>
      </c>
      <c r="M7" s="474" t="s">
        <v>77</v>
      </c>
      <c r="N7" s="474"/>
      <c r="O7" s="475"/>
    </row>
    <row r="8" spans="2:15" ht="24.75" customHeight="1" thickBot="1">
      <c r="B8" s="473"/>
      <c r="C8" s="469"/>
      <c r="D8" s="469"/>
      <c r="E8" s="469"/>
      <c r="F8" s="471"/>
      <c r="G8" s="471"/>
      <c r="H8" s="471"/>
      <c r="I8" s="471"/>
      <c r="J8" s="471"/>
      <c r="K8" s="471"/>
      <c r="L8" s="471"/>
      <c r="M8" s="176" t="s">
        <v>78</v>
      </c>
      <c r="N8" s="176" t="s">
        <v>79</v>
      </c>
      <c r="O8" s="177" t="s">
        <v>80</v>
      </c>
    </row>
    <row r="9" spans="2:15" ht="17.399999999999999">
      <c r="B9" s="465" t="s">
        <v>81</v>
      </c>
      <c r="C9" s="466"/>
      <c r="D9" s="466"/>
      <c r="E9" s="466"/>
      <c r="F9" s="466"/>
      <c r="G9" s="466"/>
      <c r="H9" s="466"/>
      <c r="I9" s="466"/>
      <c r="J9" s="466"/>
      <c r="K9" s="466"/>
      <c r="L9" s="466"/>
      <c r="M9" s="466"/>
      <c r="N9" s="466"/>
      <c r="O9" s="467"/>
    </row>
    <row r="10" spans="2:15">
      <c r="B10" s="156">
        <v>1</v>
      </c>
      <c r="C10" s="149" t="s">
        <v>82</v>
      </c>
      <c r="D10" s="148">
        <v>1</v>
      </c>
      <c r="E10" s="148" t="s">
        <v>83</v>
      </c>
      <c r="F10" s="150">
        <f>Switch</f>
        <v>9626</v>
      </c>
      <c r="G10" s="150">
        <f t="shared" ref="G10" si="0">1/(F10*nano)</f>
        <v>103885.31061707874</v>
      </c>
      <c r="H10" s="150">
        <f t="shared" ref="H10" si="1">1/(F10*0.000000001*hours_per_year)</f>
        <v>11.859053723410813</v>
      </c>
      <c r="I10" s="151">
        <f t="shared" ref="I10" si="2">100*(1-EXP(-1/H10))</f>
        <v>8.0866370785909414</v>
      </c>
      <c r="J10" s="152">
        <f t="shared" ref="J10" si="3">G10/(G10+8)</f>
        <v>0.99992299792977546</v>
      </c>
      <c r="K10" s="153">
        <f>100*J10</f>
        <v>99.992299792977548</v>
      </c>
      <c r="L10" s="154">
        <f t="shared" ref="L10" si="4">1-J10</f>
        <v>7.7002070224541086E-5</v>
      </c>
      <c r="M10" s="155">
        <f t="shared" ref="M10" si="5">L10*hours_per_year</f>
        <v>0.67453813516697991</v>
      </c>
      <c r="N10" s="155">
        <f t="shared" ref="N10" si="6">L10*min_per_year</f>
        <v>40.472288110018795</v>
      </c>
      <c r="O10" s="157">
        <f t="shared" ref="O10" si="7">L10*secs_per_year</f>
        <v>2428.3372866011277</v>
      </c>
    </row>
    <row r="11" spans="2:15">
      <c r="B11" s="158">
        <v>1</v>
      </c>
      <c r="C11" s="117" t="s">
        <v>84</v>
      </c>
      <c r="D11" s="116">
        <v>1</v>
      </c>
      <c r="E11" s="116" t="s">
        <v>83</v>
      </c>
      <c r="F11" s="118">
        <f>Switch</f>
        <v>9626</v>
      </c>
      <c r="G11" s="118">
        <f t="shared" ref="G11:G15" si="8">1/(F11*nano)</f>
        <v>103885.31061707874</v>
      </c>
      <c r="H11" s="118">
        <f t="shared" ref="H11:H15" si="9">1/(F11*0.000000001*hours_per_year)</f>
        <v>11.859053723410813</v>
      </c>
      <c r="I11" s="119">
        <f t="shared" ref="I11:I15" si="10">100*(1-EXP(-1/H11))</f>
        <v>8.0866370785909414</v>
      </c>
      <c r="J11" s="120">
        <f t="shared" ref="J11:J15" si="11">G11/(G11+8)</f>
        <v>0.99992299792977546</v>
      </c>
      <c r="K11" s="121">
        <f t="shared" ref="K11:K24" si="12">100*J11</f>
        <v>99.992299792977548</v>
      </c>
      <c r="L11" s="122">
        <f t="shared" ref="L11:L15" si="13">1-J11</f>
        <v>7.7002070224541086E-5</v>
      </c>
      <c r="M11" s="123">
        <f t="shared" ref="M11:M15" si="14">L11*hours_per_year</f>
        <v>0.67453813516697991</v>
      </c>
      <c r="N11" s="123">
        <f t="shared" ref="N11:N15" si="15">L11*min_per_year</f>
        <v>40.472288110018795</v>
      </c>
      <c r="O11" s="159">
        <f t="shared" ref="O11:O15" si="16">L11*secs_per_year</f>
        <v>2428.3372866011277</v>
      </c>
    </row>
    <row r="12" spans="2:15">
      <c r="B12" s="160">
        <v>1</v>
      </c>
      <c r="C12" s="125" t="s">
        <v>54</v>
      </c>
      <c r="D12" s="124">
        <v>1</v>
      </c>
      <c r="E12" s="124" t="s">
        <v>60</v>
      </c>
      <c r="F12" s="126">
        <f>Control_Plane</f>
        <v>4235</v>
      </c>
      <c r="G12" s="126">
        <f t="shared" si="8"/>
        <v>236127.50885478157</v>
      </c>
      <c r="H12" s="126">
        <f t="shared" si="9"/>
        <v>26.955195074746754</v>
      </c>
      <c r="I12" s="127">
        <f t="shared" si="10"/>
        <v>3.6418878433635449</v>
      </c>
      <c r="J12" s="128">
        <f t="shared" si="11"/>
        <v>0.99996612114781547</v>
      </c>
      <c r="K12" s="129">
        <f t="shared" si="12"/>
        <v>99.996612114781541</v>
      </c>
      <c r="L12" s="130">
        <f t="shared" si="13"/>
        <v>3.3878852184532349E-5</v>
      </c>
      <c r="M12" s="131">
        <f t="shared" si="14"/>
        <v>0.29677874513650337</v>
      </c>
      <c r="N12" s="131">
        <f t="shared" si="15"/>
        <v>17.806724708190202</v>
      </c>
      <c r="O12" s="161">
        <f t="shared" si="16"/>
        <v>1068.4034824914122</v>
      </c>
    </row>
    <row r="13" spans="2:15">
      <c r="B13" s="162">
        <v>1</v>
      </c>
      <c r="C13" s="133" t="s">
        <v>56</v>
      </c>
      <c r="D13" s="132" t="s">
        <v>85</v>
      </c>
      <c r="E13" s="132" t="s">
        <v>60</v>
      </c>
      <c r="F13" s="134">
        <f>Server_Master</f>
        <v>4235</v>
      </c>
      <c r="G13" s="134">
        <f t="shared" si="8"/>
        <v>236127.50885478157</v>
      </c>
      <c r="H13" s="134">
        <f t="shared" si="9"/>
        <v>26.955195074746754</v>
      </c>
      <c r="I13" s="135">
        <f t="shared" si="10"/>
        <v>3.6418878433635449</v>
      </c>
      <c r="J13" s="136">
        <f t="shared" si="11"/>
        <v>0.99996612114781547</v>
      </c>
      <c r="K13" s="137">
        <f t="shared" si="12"/>
        <v>99.996612114781541</v>
      </c>
      <c r="L13" s="138">
        <f t="shared" si="13"/>
        <v>3.3878852184532349E-5</v>
      </c>
      <c r="M13" s="139">
        <f t="shared" si="14"/>
        <v>0.29677874513650337</v>
      </c>
      <c r="N13" s="139">
        <f t="shared" si="15"/>
        <v>17.806724708190202</v>
      </c>
      <c r="O13" s="163">
        <f t="shared" si="16"/>
        <v>1068.4034824914122</v>
      </c>
    </row>
    <row r="14" spans="2:15">
      <c r="B14" s="164">
        <v>1</v>
      </c>
      <c r="C14" s="141" t="s">
        <v>57</v>
      </c>
      <c r="D14" s="140" t="s">
        <v>86</v>
      </c>
      <c r="E14" s="140" t="s">
        <v>60</v>
      </c>
      <c r="F14" s="142">
        <f>Data_Storage</f>
        <v>4235</v>
      </c>
      <c r="G14" s="142">
        <f t="shared" si="8"/>
        <v>236127.50885478157</v>
      </c>
      <c r="H14" s="142">
        <f t="shared" si="9"/>
        <v>26.955195074746754</v>
      </c>
      <c r="I14" s="143">
        <f t="shared" si="10"/>
        <v>3.6418878433635449</v>
      </c>
      <c r="J14" s="144">
        <f t="shared" si="11"/>
        <v>0.99996612114781547</v>
      </c>
      <c r="K14" s="145">
        <f t="shared" si="12"/>
        <v>99.996612114781541</v>
      </c>
      <c r="L14" s="146">
        <f t="shared" si="13"/>
        <v>3.3878852184532349E-5</v>
      </c>
      <c r="M14" s="147">
        <f t="shared" si="14"/>
        <v>0.29677874513650337</v>
      </c>
      <c r="N14" s="147">
        <f t="shared" si="15"/>
        <v>17.806724708190202</v>
      </c>
      <c r="O14" s="165">
        <f t="shared" si="16"/>
        <v>1068.4034824914122</v>
      </c>
    </row>
    <row r="15" spans="2:15">
      <c r="B15" s="158">
        <v>2</v>
      </c>
      <c r="C15" s="149" t="s">
        <v>82</v>
      </c>
      <c r="D15" s="116">
        <v>1</v>
      </c>
      <c r="E15" s="116" t="s">
        <v>83</v>
      </c>
      <c r="F15" s="118">
        <f>Switch</f>
        <v>9626</v>
      </c>
      <c r="G15" s="118">
        <f t="shared" si="8"/>
        <v>103885.31061707874</v>
      </c>
      <c r="H15" s="118">
        <f t="shared" si="9"/>
        <v>11.859053723410813</v>
      </c>
      <c r="I15" s="119">
        <f t="shared" si="10"/>
        <v>8.0866370785909414</v>
      </c>
      <c r="J15" s="120">
        <f t="shared" si="11"/>
        <v>0.99992299792977546</v>
      </c>
      <c r="K15" s="121">
        <f>100*J15</f>
        <v>99.992299792977548</v>
      </c>
      <c r="L15" s="122">
        <f t="shared" si="13"/>
        <v>7.7002070224541086E-5</v>
      </c>
      <c r="M15" s="123">
        <f t="shared" si="14"/>
        <v>0.67453813516697991</v>
      </c>
      <c r="N15" s="123">
        <f t="shared" si="15"/>
        <v>40.472288110018795</v>
      </c>
      <c r="O15" s="159">
        <f t="shared" si="16"/>
        <v>2428.3372866011277</v>
      </c>
    </row>
    <row r="16" spans="2:15">
      <c r="B16" s="158">
        <v>2</v>
      </c>
      <c r="C16" s="117" t="s">
        <v>84</v>
      </c>
      <c r="D16" s="116">
        <v>1</v>
      </c>
      <c r="E16" s="116" t="s">
        <v>83</v>
      </c>
      <c r="F16" s="118">
        <f>Switch</f>
        <v>9626</v>
      </c>
      <c r="G16" s="118">
        <f t="shared" ref="G16:G20" si="17">1/(F16*nano)</f>
        <v>103885.31061707874</v>
      </c>
      <c r="H16" s="118">
        <f t="shared" ref="H16:H20" si="18">1/(F16*0.000000001*hours_per_year)</f>
        <v>11.859053723410813</v>
      </c>
      <c r="I16" s="119">
        <f t="shared" ref="I16:I20" si="19">100*(1-EXP(-1/H16))</f>
        <v>8.0866370785909414</v>
      </c>
      <c r="J16" s="120">
        <f t="shared" ref="J16:J20" si="20">G16/(G16+8)</f>
        <v>0.99992299792977546</v>
      </c>
      <c r="K16" s="121">
        <f t="shared" si="12"/>
        <v>99.992299792977548</v>
      </c>
      <c r="L16" s="122">
        <f t="shared" ref="L16:L20" si="21">1-J16</f>
        <v>7.7002070224541086E-5</v>
      </c>
      <c r="M16" s="123">
        <f t="shared" ref="M16:M20" si="22">L16*hours_per_year</f>
        <v>0.67453813516697991</v>
      </c>
      <c r="N16" s="123">
        <f t="shared" ref="N16:N20" si="23">L16*min_per_year</f>
        <v>40.472288110018795</v>
      </c>
      <c r="O16" s="159">
        <f t="shared" ref="O16:O20" si="24">L16*secs_per_year</f>
        <v>2428.3372866011277</v>
      </c>
    </row>
    <row r="17" spans="2:18">
      <c r="B17" s="160">
        <v>2</v>
      </c>
      <c r="C17" s="125" t="s">
        <v>54</v>
      </c>
      <c r="D17" s="124">
        <v>1</v>
      </c>
      <c r="E17" s="124" t="s">
        <v>60</v>
      </c>
      <c r="F17" s="126">
        <f>Control_Plane</f>
        <v>4235</v>
      </c>
      <c r="G17" s="126">
        <f t="shared" si="17"/>
        <v>236127.50885478157</v>
      </c>
      <c r="H17" s="126">
        <f t="shared" si="18"/>
        <v>26.955195074746754</v>
      </c>
      <c r="I17" s="127">
        <f t="shared" si="19"/>
        <v>3.6418878433635449</v>
      </c>
      <c r="J17" s="128">
        <f t="shared" si="20"/>
        <v>0.99996612114781547</v>
      </c>
      <c r="K17" s="129">
        <f t="shared" si="12"/>
        <v>99.996612114781541</v>
      </c>
      <c r="L17" s="130">
        <f t="shared" si="21"/>
        <v>3.3878852184532349E-5</v>
      </c>
      <c r="M17" s="131">
        <f t="shared" si="22"/>
        <v>0.29677874513650337</v>
      </c>
      <c r="N17" s="131">
        <f t="shared" si="23"/>
        <v>17.806724708190202</v>
      </c>
      <c r="O17" s="161">
        <f t="shared" si="24"/>
        <v>1068.4034824914122</v>
      </c>
    </row>
    <row r="18" spans="2:18">
      <c r="B18" s="162">
        <v>2</v>
      </c>
      <c r="C18" s="133" t="s">
        <v>56</v>
      </c>
      <c r="D18" s="132" t="s">
        <v>85</v>
      </c>
      <c r="E18" s="132" t="s">
        <v>60</v>
      </c>
      <c r="F18" s="134">
        <f>Server_Master</f>
        <v>4235</v>
      </c>
      <c r="G18" s="134">
        <f t="shared" si="17"/>
        <v>236127.50885478157</v>
      </c>
      <c r="H18" s="134">
        <f t="shared" si="18"/>
        <v>26.955195074746754</v>
      </c>
      <c r="I18" s="135">
        <f t="shared" si="19"/>
        <v>3.6418878433635449</v>
      </c>
      <c r="J18" s="136">
        <f t="shared" si="20"/>
        <v>0.99996612114781547</v>
      </c>
      <c r="K18" s="137">
        <f t="shared" si="12"/>
        <v>99.996612114781541</v>
      </c>
      <c r="L18" s="138">
        <f t="shared" si="21"/>
        <v>3.3878852184532349E-5</v>
      </c>
      <c r="M18" s="139">
        <f t="shared" si="22"/>
        <v>0.29677874513650337</v>
      </c>
      <c r="N18" s="139">
        <f t="shared" si="23"/>
        <v>17.806724708190202</v>
      </c>
      <c r="O18" s="163">
        <f t="shared" si="24"/>
        <v>1068.4034824914122</v>
      </c>
    </row>
    <row r="19" spans="2:18">
      <c r="B19" s="164">
        <v>2</v>
      </c>
      <c r="C19" s="141" t="s">
        <v>57</v>
      </c>
      <c r="D19" s="140" t="s">
        <v>86</v>
      </c>
      <c r="E19" s="140" t="s">
        <v>60</v>
      </c>
      <c r="F19" s="142">
        <f>Data_Storage</f>
        <v>4235</v>
      </c>
      <c r="G19" s="142">
        <f t="shared" si="17"/>
        <v>236127.50885478157</v>
      </c>
      <c r="H19" s="142">
        <f t="shared" si="18"/>
        <v>26.955195074746754</v>
      </c>
      <c r="I19" s="143">
        <f t="shared" si="19"/>
        <v>3.6418878433635449</v>
      </c>
      <c r="J19" s="144">
        <f t="shared" si="20"/>
        <v>0.99996612114781547</v>
      </c>
      <c r="K19" s="145">
        <f t="shared" si="12"/>
        <v>99.996612114781541</v>
      </c>
      <c r="L19" s="146">
        <f t="shared" si="21"/>
        <v>3.3878852184532349E-5</v>
      </c>
      <c r="M19" s="147">
        <f t="shared" si="22"/>
        <v>0.29677874513650337</v>
      </c>
      <c r="N19" s="147">
        <f t="shared" si="23"/>
        <v>17.806724708190202</v>
      </c>
      <c r="O19" s="165">
        <f t="shared" si="24"/>
        <v>1068.4034824914122</v>
      </c>
    </row>
    <row r="20" spans="2:18">
      <c r="B20" s="158">
        <v>3</v>
      </c>
      <c r="C20" s="149" t="s">
        <v>82</v>
      </c>
      <c r="D20" s="116">
        <v>1</v>
      </c>
      <c r="E20" s="116" t="s">
        <v>83</v>
      </c>
      <c r="F20" s="118">
        <f>Switch</f>
        <v>9626</v>
      </c>
      <c r="G20" s="118">
        <f t="shared" si="17"/>
        <v>103885.31061707874</v>
      </c>
      <c r="H20" s="118">
        <f t="shared" si="18"/>
        <v>11.859053723410813</v>
      </c>
      <c r="I20" s="119">
        <f t="shared" si="19"/>
        <v>8.0866370785909414</v>
      </c>
      <c r="J20" s="120">
        <f t="shared" si="20"/>
        <v>0.99992299792977546</v>
      </c>
      <c r="K20" s="121">
        <f>100*J20</f>
        <v>99.992299792977548</v>
      </c>
      <c r="L20" s="122">
        <f t="shared" si="21"/>
        <v>7.7002070224541086E-5</v>
      </c>
      <c r="M20" s="123">
        <f t="shared" si="22"/>
        <v>0.67453813516697991</v>
      </c>
      <c r="N20" s="123">
        <f t="shared" si="23"/>
        <v>40.472288110018795</v>
      </c>
      <c r="O20" s="159">
        <f t="shared" si="24"/>
        <v>2428.3372866011277</v>
      </c>
    </row>
    <row r="21" spans="2:18">
      <c r="B21" s="158">
        <v>3</v>
      </c>
      <c r="C21" s="117" t="s">
        <v>84</v>
      </c>
      <c r="D21" s="116">
        <v>1</v>
      </c>
      <c r="E21" s="116" t="s">
        <v>83</v>
      </c>
      <c r="F21" s="118">
        <f>Switch</f>
        <v>9626</v>
      </c>
      <c r="G21" s="118">
        <f t="shared" ref="G21:G26" si="25">1/(F21*nano)</f>
        <v>103885.31061707874</v>
      </c>
      <c r="H21" s="118">
        <f t="shared" ref="H21:H26" si="26">1/(F21*0.000000001*hours_per_year)</f>
        <v>11.859053723410813</v>
      </c>
      <c r="I21" s="119">
        <f t="shared" ref="I21:I26" si="27">100*(1-EXP(-1/H21))</f>
        <v>8.0866370785909414</v>
      </c>
      <c r="J21" s="120">
        <f t="shared" ref="J21:J26" si="28">G21/(G21+8)</f>
        <v>0.99992299792977546</v>
      </c>
      <c r="K21" s="121">
        <f t="shared" si="12"/>
        <v>99.992299792977548</v>
      </c>
      <c r="L21" s="122">
        <f t="shared" ref="L21:L26" si="29">1-J21</f>
        <v>7.7002070224541086E-5</v>
      </c>
      <c r="M21" s="123">
        <f t="shared" ref="M21:M26" si="30">L21*hours_per_year</f>
        <v>0.67453813516697991</v>
      </c>
      <c r="N21" s="123">
        <f t="shared" ref="N21:N26" si="31">L21*min_per_year</f>
        <v>40.472288110018795</v>
      </c>
      <c r="O21" s="159">
        <f t="shared" ref="O21:O26" si="32">L21*secs_per_year</f>
        <v>2428.3372866011277</v>
      </c>
      <c r="R21" s="49"/>
    </row>
    <row r="22" spans="2:18">
      <c r="B22" s="160">
        <v>3</v>
      </c>
      <c r="C22" s="125" t="s">
        <v>54</v>
      </c>
      <c r="D22" s="124">
        <v>1</v>
      </c>
      <c r="E22" s="124" t="s">
        <v>60</v>
      </c>
      <c r="F22" s="126">
        <f>Control_Plane</f>
        <v>4235</v>
      </c>
      <c r="G22" s="126">
        <f t="shared" si="25"/>
        <v>236127.50885478157</v>
      </c>
      <c r="H22" s="126">
        <f t="shared" si="26"/>
        <v>26.955195074746754</v>
      </c>
      <c r="I22" s="127">
        <f t="shared" si="27"/>
        <v>3.6418878433635449</v>
      </c>
      <c r="J22" s="128">
        <f t="shared" si="28"/>
        <v>0.99996612114781547</v>
      </c>
      <c r="K22" s="129">
        <f t="shared" si="12"/>
        <v>99.996612114781541</v>
      </c>
      <c r="L22" s="130">
        <f t="shared" si="29"/>
        <v>3.3878852184532349E-5</v>
      </c>
      <c r="M22" s="131">
        <f t="shared" si="30"/>
        <v>0.29677874513650337</v>
      </c>
      <c r="N22" s="131">
        <f t="shared" si="31"/>
        <v>17.806724708190202</v>
      </c>
      <c r="O22" s="161">
        <f t="shared" si="32"/>
        <v>1068.4034824914122</v>
      </c>
      <c r="R22" s="49"/>
    </row>
    <row r="23" spans="2:18">
      <c r="B23" s="162">
        <v>3</v>
      </c>
      <c r="C23" s="133" t="s">
        <v>56</v>
      </c>
      <c r="D23" s="132" t="s">
        <v>85</v>
      </c>
      <c r="E23" s="132" t="s">
        <v>60</v>
      </c>
      <c r="F23" s="134">
        <f>Server_Master</f>
        <v>4235</v>
      </c>
      <c r="G23" s="134">
        <f t="shared" si="25"/>
        <v>236127.50885478157</v>
      </c>
      <c r="H23" s="134">
        <f t="shared" si="26"/>
        <v>26.955195074746754</v>
      </c>
      <c r="I23" s="135">
        <f t="shared" si="27"/>
        <v>3.6418878433635449</v>
      </c>
      <c r="J23" s="136">
        <f t="shared" si="28"/>
        <v>0.99996612114781547</v>
      </c>
      <c r="K23" s="137">
        <f t="shared" si="12"/>
        <v>99.996612114781541</v>
      </c>
      <c r="L23" s="138">
        <f t="shared" si="29"/>
        <v>3.3878852184532349E-5</v>
      </c>
      <c r="M23" s="139">
        <f t="shared" si="30"/>
        <v>0.29677874513650337</v>
      </c>
      <c r="N23" s="139">
        <f t="shared" si="31"/>
        <v>17.806724708190202</v>
      </c>
      <c r="O23" s="163">
        <f t="shared" si="32"/>
        <v>1068.4034824914122</v>
      </c>
      <c r="R23" s="49"/>
    </row>
    <row r="24" spans="2:18">
      <c r="B24" s="164">
        <v>3</v>
      </c>
      <c r="C24" s="141" t="s">
        <v>57</v>
      </c>
      <c r="D24" s="140" t="s">
        <v>86</v>
      </c>
      <c r="E24" s="140" t="s">
        <v>60</v>
      </c>
      <c r="F24" s="142">
        <f>Data_Storage</f>
        <v>4235</v>
      </c>
      <c r="G24" s="142">
        <f t="shared" si="25"/>
        <v>236127.50885478157</v>
      </c>
      <c r="H24" s="142">
        <f t="shared" si="26"/>
        <v>26.955195074746754</v>
      </c>
      <c r="I24" s="143">
        <f t="shared" si="27"/>
        <v>3.6418878433635449</v>
      </c>
      <c r="J24" s="144">
        <f t="shared" si="28"/>
        <v>0.99996612114781547</v>
      </c>
      <c r="K24" s="145">
        <f t="shared" si="12"/>
        <v>99.996612114781541</v>
      </c>
      <c r="L24" s="146">
        <f t="shared" si="29"/>
        <v>3.3878852184532349E-5</v>
      </c>
      <c r="M24" s="147">
        <f t="shared" si="30"/>
        <v>0.29677874513650337</v>
      </c>
      <c r="N24" s="147">
        <f t="shared" si="31"/>
        <v>17.806724708190202</v>
      </c>
      <c r="O24" s="165">
        <f t="shared" si="32"/>
        <v>1068.4034824914122</v>
      </c>
    </row>
    <row r="25" spans="2:18">
      <c r="B25" s="156" t="s">
        <v>87</v>
      </c>
      <c r="C25" s="149" t="s">
        <v>88</v>
      </c>
      <c r="D25" s="148">
        <v>1</v>
      </c>
      <c r="E25" s="148" t="s">
        <v>83</v>
      </c>
      <c r="F25" s="150">
        <f>Switch</f>
        <v>9626</v>
      </c>
      <c r="G25" s="150">
        <f t="shared" si="25"/>
        <v>103885.31061707874</v>
      </c>
      <c r="H25" s="150">
        <f t="shared" si="26"/>
        <v>11.859053723410813</v>
      </c>
      <c r="I25" s="151">
        <f t="shared" si="27"/>
        <v>8.0866370785909414</v>
      </c>
      <c r="J25" s="152">
        <f t="shared" si="28"/>
        <v>0.99992299792977546</v>
      </c>
      <c r="K25" s="153">
        <f>100*J25</f>
        <v>99.992299792977548</v>
      </c>
      <c r="L25" s="154">
        <f t="shared" si="29"/>
        <v>7.7002070224541086E-5</v>
      </c>
      <c r="M25" s="155">
        <f t="shared" si="30"/>
        <v>0.67453813516697991</v>
      </c>
      <c r="N25" s="155">
        <f t="shared" si="31"/>
        <v>40.472288110018795</v>
      </c>
      <c r="O25" s="157">
        <f t="shared" si="32"/>
        <v>2428.3372866011277</v>
      </c>
    </row>
    <row r="26" spans="2:18" ht="13.8" thickBot="1">
      <c r="B26" s="166" t="s">
        <v>87</v>
      </c>
      <c r="C26" s="168" t="s">
        <v>89</v>
      </c>
      <c r="D26" s="167">
        <v>1</v>
      </c>
      <c r="E26" s="167" t="s">
        <v>83</v>
      </c>
      <c r="F26" s="169">
        <f>Switch</f>
        <v>9626</v>
      </c>
      <c r="G26" s="169">
        <f t="shared" si="25"/>
        <v>103885.31061707874</v>
      </c>
      <c r="H26" s="169">
        <f t="shared" si="26"/>
        <v>11.859053723410813</v>
      </c>
      <c r="I26" s="170">
        <f t="shared" si="27"/>
        <v>8.0866370785909414</v>
      </c>
      <c r="J26" s="171">
        <f t="shared" si="28"/>
        <v>0.99992299792977546</v>
      </c>
      <c r="K26" s="172">
        <f>100*J26</f>
        <v>99.992299792977548</v>
      </c>
      <c r="L26" s="173">
        <f t="shared" si="29"/>
        <v>7.7002070224541086E-5</v>
      </c>
      <c r="M26" s="174">
        <f t="shared" si="30"/>
        <v>0.67453813516697991</v>
      </c>
      <c r="N26" s="174">
        <f t="shared" si="31"/>
        <v>40.472288110018795</v>
      </c>
      <c r="O26" s="175">
        <f t="shared" si="32"/>
        <v>2428.3372866011277</v>
      </c>
    </row>
    <row r="27" spans="2:18" ht="13.8" thickBot="1">
      <c r="B27" s="178"/>
      <c r="O27" s="179"/>
      <c r="Q27" s="49"/>
      <c r="R27" s="49"/>
    </row>
    <row r="28" spans="2:18" ht="17.399999999999999">
      <c r="B28" s="465" t="s">
        <v>90</v>
      </c>
      <c r="C28" s="466"/>
      <c r="D28" s="466"/>
      <c r="E28" s="466"/>
      <c r="F28" s="466"/>
      <c r="G28" s="466"/>
      <c r="H28" s="466"/>
      <c r="I28" s="466"/>
      <c r="J28" s="466"/>
      <c r="K28" s="466"/>
      <c r="L28" s="466"/>
      <c r="M28" s="466"/>
      <c r="N28" s="466"/>
      <c r="O28" s="467"/>
      <c r="Q28" s="49"/>
      <c r="R28" s="49"/>
    </row>
    <row r="29" spans="2:18">
      <c r="B29" s="156">
        <v>1</v>
      </c>
      <c r="C29" s="149" t="s">
        <v>82</v>
      </c>
      <c r="D29" s="148">
        <v>1</v>
      </c>
      <c r="E29" s="148" t="s">
        <v>83</v>
      </c>
      <c r="F29" s="150">
        <f>Switch</f>
        <v>9626</v>
      </c>
      <c r="G29" s="150">
        <f t="shared" ref="G29:G45" si="33">1/(F29*nano)</f>
        <v>103885.31061707874</v>
      </c>
      <c r="H29" s="150">
        <f t="shared" ref="H29:H45" si="34">1/(F29*0.000000001*hours_per_year)</f>
        <v>11.859053723410813</v>
      </c>
      <c r="I29" s="151">
        <f t="shared" ref="I29:I45" si="35">100*(1-EXP(-1/H29))</f>
        <v>8.0866370785909414</v>
      </c>
      <c r="J29" s="152">
        <f t="shared" ref="J29:J45" si="36">G29/(G29+8)</f>
        <v>0.99992299792977546</v>
      </c>
      <c r="K29" s="153">
        <f>100*J29</f>
        <v>99.992299792977548</v>
      </c>
      <c r="L29" s="154">
        <f t="shared" ref="L29:L45" si="37">1-J29</f>
        <v>7.7002070224541086E-5</v>
      </c>
      <c r="M29" s="155">
        <f t="shared" ref="M29:M45" si="38">L29*hours_per_year</f>
        <v>0.67453813516697991</v>
      </c>
      <c r="N29" s="155">
        <f t="shared" ref="N29:N45" si="39">L29*min_per_year</f>
        <v>40.472288110018795</v>
      </c>
      <c r="O29" s="157">
        <f t="shared" ref="O29:O45" si="40">L29*secs_per_year</f>
        <v>2428.3372866011277</v>
      </c>
      <c r="Q29" s="49"/>
      <c r="R29" s="49"/>
    </row>
    <row r="30" spans="2:18">
      <c r="B30" s="158">
        <v>1</v>
      </c>
      <c r="C30" s="117" t="s">
        <v>84</v>
      </c>
      <c r="D30" s="116">
        <v>1</v>
      </c>
      <c r="E30" s="116" t="s">
        <v>83</v>
      </c>
      <c r="F30" s="118">
        <f>Switch</f>
        <v>9626</v>
      </c>
      <c r="G30" s="118">
        <f t="shared" si="33"/>
        <v>103885.31061707874</v>
      </c>
      <c r="H30" s="118">
        <f t="shared" si="34"/>
        <v>11.859053723410813</v>
      </c>
      <c r="I30" s="119">
        <f t="shared" si="35"/>
        <v>8.0866370785909414</v>
      </c>
      <c r="J30" s="120">
        <f t="shared" si="36"/>
        <v>0.99992299792977546</v>
      </c>
      <c r="K30" s="121">
        <f t="shared" ref="K30:K43" si="41">100*J30</f>
        <v>99.992299792977548</v>
      </c>
      <c r="L30" s="122">
        <f t="shared" si="37"/>
        <v>7.7002070224541086E-5</v>
      </c>
      <c r="M30" s="123">
        <f t="shared" si="38"/>
        <v>0.67453813516697991</v>
      </c>
      <c r="N30" s="123">
        <f t="shared" si="39"/>
        <v>40.472288110018795</v>
      </c>
      <c r="O30" s="159">
        <f t="shared" si="40"/>
        <v>2428.3372866011277</v>
      </c>
      <c r="Q30" s="49"/>
      <c r="R30" s="49"/>
    </row>
    <row r="31" spans="2:18">
      <c r="B31" s="160">
        <v>1</v>
      </c>
      <c r="C31" s="125" t="s">
        <v>54</v>
      </c>
      <c r="D31" s="124">
        <v>1</v>
      </c>
      <c r="E31" s="124" t="s">
        <v>60</v>
      </c>
      <c r="F31" s="126">
        <f>Control_Plane</f>
        <v>4235</v>
      </c>
      <c r="G31" s="126">
        <f t="shared" si="33"/>
        <v>236127.50885478157</v>
      </c>
      <c r="H31" s="126">
        <f t="shared" si="34"/>
        <v>26.955195074746754</v>
      </c>
      <c r="I31" s="127">
        <f t="shared" si="35"/>
        <v>3.6418878433635449</v>
      </c>
      <c r="J31" s="128">
        <f t="shared" si="36"/>
        <v>0.99996612114781547</v>
      </c>
      <c r="K31" s="129">
        <f t="shared" si="41"/>
        <v>99.996612114781541</v>
      </c>
      <c r="L31" s="130">
        <f t="shared" si="37"/>
        <v>3.3878852184532349E-5</v>
      </c>
      <c r="M31" s="131">
        <f t="shared" si="38"/>
        <v>0.29677874513650337</v>
      </c>
      <c r="N31" s="131">
        <f t="shared" si="39"/>
        <v>17.806724708190202</v>
      </c>
      <c r="O31" s="161">
        <f t="shared" si="40"/>
        <v>1068.4034824914122</v>
      </c>
    </row>
    <row r="32" spans="2:18">
      <c r="B32" s="162">
        <v>1</v>
      </c>
      <c r="C32" s="133" t="s">
        <v>56</v>
      </c>
      <c r="D32" s="132" t="s">
        <v>85</v>
      </c>
      <c r="E32" s="132" t="s">
        <v>60</v>
      </c>
      <c r="F32" s="134">
        <f>Server_Master</f>
        <v>4235</v>
      </c>
      <c r="G32" s="134">
        <f t="shared" si="33"/>
        <v>236127.50885478157</v>
      </c>
      <c r="H32" s="134">
        <f t="shared" si="34"/>
        <v>26.955195074746754</v>
      </c>
      <c r="I32" s="135">
        <f t="shared" si="35"/>
        <v>3.6418878433635449</v>
      </c>
      <c r="J32" s="136">
        <f t="shared" si="36"/>
        <v>0.99996612114781547</v>
      </c>
      <c r="K32" s="137">
        <f t="shared" si="41"/>
        <v>99.996612114781541</v>
      </c>
      <c r="L32" s="138">
        <f t="shared" si="37"/>
        <v>3.3878852184532349E-5</v>
      </c>
      <c r="M32" s="139">
        <f t="shared" si="38"/>
        <v>0.29677874513650337</v>
      </c>
      <c r="N32" s="139">
        <f t="shared" si="39"/>
        <v>17.806724708190202</v>
      </c>
      <c r="O32" s="163">
        <f t="shared" si="40"/>
        <v>1068.4034824914122</v>
      </c>
    </row>
    <row r="33" spans="2:15">
      <c r="B33" s="164">
        <v>1</v>
      </c>
      <c r="C33" s="141" t="s">
        <v>57</v>
      </c>
      <c r="D33" s="140" t="s">
        <v>86</v>
      </c>
      <c r="E33" s="140" t="s">
        <v>60</v>
      </c>
      <c r="F33" s="142">
        <f>Data_Storage</f>
        <v>4235</v>
      </c>
      <c r="G33" s="142">
        <f t="shared" si="33"/>
        <v>236127.50885478157</v>
      </c>
      <c r="H33" s="142">
        <f t="shared" si="34"/>
        <v>26.955195074746754</v>
      </c>
      <c r="I33" s="143">
        <f t="shared" si="35"/>
        <v>3.6418878433635449</v>
      </c>
      <c r="J33" s="144">
        <f t="shared" si="36"/>
        <v>0.99996612114781547</v>
      </c>
      <c r="K33" s="145">
        <f t="shared" si="41"/>
        <v>99.996612114781541</v>
      </c>
      <c r="L33" s="146">
        <f t="shared" si="37"/>
        <v>3.3878852184532349E-5</v>
      </c>
      <c r="M33" s="147">
        <f t="shared" si="38"/>
        <v>0.29677874513650337</v>
      </c>
      <c r="N33" s="147">
        <f t="shared" si="39"/>
        <v>17.806724708190202</v>
      </c>
      <c r="O33" s="165">
        <f t="shared" si="40"/>
        <v>1068.4034824914122</v>
      </c>
    </row>
    <row r="34" spans="2:15">
      <c r="B34" s="158">
        <v>2</v>
      </c>
      <c r="C34" s="149" t="s">
        <v>82</v>
      </c>
      <c r="D34" s="116">
        <v>1</v>
      </c>
      <c r="E34" s="116" t="s">
        <v>83</v>
      </c>
      <c r="F34" s="118">
        <f>Switch</f>
        <v>9626</v>
      </c>
      <c r="G34" s="118">
        <f t="shared" si="33"/>
        <v>103885.31061707874</v>
      </c>
      <c r="H34" s="118">
        <f t="shared" si="34"/>
        <v>11.859053723410813</v>
      </c>
      <c r="I34" s="119">
        <f t="shared" si="35"/>
        <v>8.0866370785909414</v>
      </c>
      <c r="J34" s="120">
        <f t="shared" si="36"/>
        <v>0.99992299792977546</v>
      </c>
      <c r="K34" s="121">
        <f>100*J34</f>
        <v>99.992299792977548</v>
      </c>
      <c r="L34" s="122">
        <f t="shared" si="37"/>
        <v>7.7002070224541086E-5</v>
      </c>
      <c r="M34" s="123">
        <f t="shared" si="38"/>
        <v>0.67453813516697991</v>
      </c>
      <c r="N34" s="123">
        <f t="shared" si="39"/>
        <v>40.472288110018795</v>
      </c>
      <c r="O34" s="159">
        <f t="shared" si="40"/>
        <v>2428.3372866011277</v>
      </c>
    </row>
    <row r="35" spans="2:15">
      <c r="B35" s="158">
        <v>2</v>
      </c>
      <c r="C35" s="117" t="s">
        <v>84</v>
      </c>
      <c r="D35" s="116">
        <v>1</v>
      </c>
      <c r="E35" s="116" t="s">
        <v>83</v>
      </c>
      <c r="F35" s="118">
        <f>Switch</f>
        <v>9626</v>
      </c>
      <c r="G35" s="118">
        <f t="shared" si="33"/>
        <v>103885.31061707874</v>
      </c>
      <c r="H35" s="118">
        <f t="shared" si="34"/>
        <v>11.859053723410813</v>
      </c>
      <c r="I35" s="119">
        <f t="shared" si="35"/>
        <v>8.0866370785909414</v>
      </c>
      <c r="J35" s="120">
        <f t="shared" si="36"/>
        <v>0.99992299792977546</v>
      </c>
      <c r="K35" s="121">
        <f t="shared" si="41"/>
        <v>99.992299792977548</v>
      </c>
      <c r="L35" s="122">
        <f t="shared" si="37"/>
        <v>7.7002070224541086E-5</v>
      </c>
      <c r="M35" s="123">
        <f t="shared" si="38"/>
        <v>0.67453813516697991</v>
      </c>
      <c r="N35" s="123">
        <f t="shared" si="39"/>
        <v>40.472288110018795</v>
      </c>
      <c r="O35" s="159">
        <f t="shared" si="40"/>
        <v>2428.3372866011277</v>
      </c>
    </row>
    <row r="36" spans="2:15">
      <c r="B36" s="160">
        <v>2</v>
      </c>
      <c r="C36" s="125" t="s">
        <v>54</v>
      </c>
      <c r="D36" s="124">
        <v>1</v>
      </c>
      <c r="E36" s="124" t="s">
        <v>60</v>
      </c>
      <c r="F36" s="126">
        <f>Control_Plane</f>
        <v>4235</v>
      </c>
      <c r="G36" s="126">
        <f t="shared" si="33"/>
        <v>236127.50885478157</v>
      </c>
      <c r="H36" s="126">
        <f t="shared" si="34"/>
        <v>26.955195074746754</v>
      </c>
      <c r="I36" s="127">
        <f t="shared" si="35"/>
        <v>3.6418878433635449</v>
      </c>
      <c r="J36" s="128">
        <f t="shared" si="36"/>
        <v>0.99996612114781547</v>
      </c>
      <c r="K36" s="129">
        <f t="shared" si="41"/>
        <v>99.996612114781541</v>
      </c>
      <c r="L36" s="130">
        <f t="shared" si="37"/>
        <v>3.3878852184532349E-5</v>
      </c>
      <c r="M36" s="131">
        <f t="shared" si="38"/>
        <v>0.29677874513650337</v>
      </c>
      <c r="N36" s="131">
        <f t="shared" si="39"/>
        <v>17.806724708190202</v>
      </c>
      <c r="O36" s="161">
        <f t="shared" si="40"/>
        <v>1068.4034824914122</v>
      </c>
    </row>
    <row r="37" spans="2:15">
      <c r="B37" s="162">
        <v>2</v>
      </c>
      <c r="C37" s="133" t="s">
        <v>56</v>
      </c>
      <c r="D37" s="132" t="s">
        <v>85</v>
      </c>
      <c r="E37" s="132" t="s">
        <v>60</v>
      </c>
      <c r="F37" s="134">
        <f>Server_Master</f>
        <v>4235</v>
      </c>
      <c r="G37" s="134">
        <f t="shared" si="33"/>
        <v>236127.50885478157</v>
      </c>
      <c r="H37" s="134">
        <f t="shared" si="34"/>
        <v>26.955195074746754</v>
      </c>
      <c r="I37" s="135">
        <f t="shared" si="35"/>
        <v>3.6418878433635449</v>
      </c>
      <c r="J37" s="136">
        <f t="shared" si="36"/>
        <v>0.99996612114781547</v>
      </c>
      <c r="K37" s="137">
        <f t="shared" si="41"/>
        <v>99.996612114781541</v>
      </c>
      <c r="L37" s="138">
        <f t="shared" si="37"/>
        <v>3.3878852184532349E-5</v>
      </c>
      <c r="M37" s="139">
        <f t="shared" si="38"/>
        <v>0.29677874513650337</v>
      </c>
      <c r="N37" s="139">
        <f t="shared" si="39"/>
        <v>17.806724708190202</v>
      </c>
      <c r="O37" s="163">
        <f t="shared" si="40"/>
        <v>1068.4034824914122</v>
      </c>
    </row>
    <row r="38" spans="2:15">
      <c r="B38" s="164">
        <v>2</v>
      </c>
      <c r="C38" s="141" t="s">
        <v>57</v>
      </c>
      <c r="D38" s="140" t="s">
        <v>86</v>
      </c>
      <c r="E38" s="140" t="s">
        <v>60</v>
      </c>
      <c r="F38" s="142">
        <f>Data_Storage</f>
        <v>4235</v>
      </c>
      <c r="G38" s="142">
        <f t="shared" si="33"/>
        <v>236127.50885478157</v>
      </c>
      <c r="H38" s="142">
        <f t="shared" si="34"/>
        <v>26.955195074746754</v>
      </c>
      <c r="I38" s="143">
        <f t="shared" si="35"/>
        <v>3.6418878433635449</v>
      </c>
      <c r="J38" s="144">
        <f t="shared" si="36"/>
        <v>0.99996612114781547</v>
      </c>
      <c r="K38" s="145">
        <f t="shared" si="41"/>
        <v>99.996612114781541</v>
      </c>
      <c r="L38" s="146">
        <f t="shared" si="37"/>
        <v>3.3878852184532349E-5</v>
      </c>
      <c r="M38" s="147">
        <f t="shared" si="38"/>
        <v>0.29677874513650337</v>
      </c>
      <c r="N38" s="147">
        <f t="shared" si="39"/>
        <v>17.806724708190202</v>
      </c>
      <c r="O38" s="165">
        <f t="shared" si="40"/>
        <v>1068.4034824914122</v>
      </c>
    </row>
    <row r="39" spans="2:15">
      <c r="B39" s="158">
        <v>3</v>
      </c>
      <c r="C39" s="149" t="s">
        <v>82</v>
      </c>
      <c r="D39" s="116">
        <v>1</v>
      </c>
      <c r="E39" s="116" t="s">
        <v>83</v>
      </c>
      <c r="F39" s="118">
        <f>Switch</f>
        <v>9626</v>
      </c>
      <c r="G39" s="118">
        <f t="shared" si="33"/>
        <v>103885.31061707874</v>
      </c>
      <c r="H39" s="118">
        <f t="shared" si="34"/>
        <v>11.859053723410813</v>
      </c>
      <c r="I39" s="119">
        <f t="shared" si="35"/>
        <v>8.0866370785909414</v>
      </c>
      <c r="J39" s="120">
        <f t="shared" si="36"/>
        <v>0.99992299792977546</v>
      </c>
      <c r="K39" s="121">
        <f>100*J39</f>
        <v>99.992299792977548</v>
      </c>
      <c r="L39" s="122">
        <f t="shared" si="37"/>
        <v>7.7002070224541086E-5</v>
      </c>
      <c r="M39" s="123">
        <f t="shared" si="38"/>
        <v>0.67453813516697991</v>
      </c>
      <c r="N39" s="123">
        <f t="shared" si="39"/>
        <v>40.472288110018795</v>
      </c>
      <c r="O39" s="159">
        <f t="shared" si="40"/>
        <v>2428.3372866011277</v>
      </c>
    </row>
    <row r="40" spans="2:15" ht="12.75" customHeight="1">
      <c r="B40" s="158">
        <v>3</v>
      </c>
      <c r="C40" s="117" t="s">
        <v>84</v>
      </c>
      <c r="D40" s="116">
        <v>1</v>
      </c>
      <c r="E40" s="116" t="s">
        <v>83</v>
      </c>
      <c r="F40" s="118">
        <f>Switch</f>
        <v>9626</v>
      </c>
      <c r="G40" s="118">
        <f t="shared" si="33"/>
        <v>103885.31061707874</v>
      </c>
      <c r="H40" s="118">
        <f t="shared" si="34"/>
        <v>11.859053723410813</v>
      </c>
      <c r="I40" s="119">
        <f t="shared" si="35"/>
        <v>8.0866370785909414</v>
      </c>
      <c r="J40" s="120">
        <f t="shared" si="36"/>
        <v>0.99992299792977546</v>
      </c>
      <c r="K40" s="121">
        <f t="shared" si="41"/>
        <v>99.992299792977548</v>
      </c>
      <c r="L40" s="122">
        <f t="shared" si="37"/>
        <v>7.7002070224541086E-5</v>
      </c>
      <c r="M40" s="123">
        <f t="shared" si="38"/>
        <v>0.67453813516697991</v>
      </c>
      <c r="N40" s="123">
        <f t="shared" si="39"/>
        <v>40.472288110018795</v>
      </c>
      <c r="O40" s="159">
        <f t="shared" si="40"/>
        <v>2428.3372866011277</v>
      </c>
    </row>
    <row r="41" spans="2:15">
      <c r="B41" s="160">
        <v>3</v>
      </c>
      <c r="C41" s="125" t="s">
        <v>54</v>
      </c>
      <c r="D41" s="124">
        <v>1</v>
      </c>
      <c r="E41" s="124" t="s">
        <v>60</v>
      </c>
      <c r="F41" s="126">
        <f>Control_Plane</f>
        <v>4235</v>
      </c>
      <c r="G41" s="126">
        <f t="shared" si="33"/>
        <v>236127.50885478157</v>
      </c>
      <c r="H41" s="126">
        <f t="shared" si="34"/>
        <v>26.955195074746754</v>
      </c>
      <c r="I41" s="127">
        <f t="shared" si="35"/>
        <v>3.6418878433635449</v>
      </c>
      <c r="J41" s="128">
        <f t="shared" si="36"/>
        <v>0.99996612114781547</v>
      </c>
      <c r="K41" s="129">
        <f t="shared" si="41"/>
        <v>99.996612114781541</v>
      </c>
      <c r="L41" s="130">
        <f t="shared" si="37"/>
        <v>3.3878852184532349E-5</v>
      </c>
      <c r="M41" s="131">
        <f t="shared" si="38"/>
        <v>0.29677874513650337</v>
      </c>
      <c r="N41" s="131">
        <f t="shared" si="39"/>
        <v>17.806724708190202</v>
      </c>
      <c r="O41" s="161">
        <f t="shared" si="40"/>
        <v>1068.4034824914122</v>
      </c>
    </row>
    <row r="42" spans="2:15">
      <c r="B42" s="162">
        <v>3</v>
      </c>
      <c r="C42" s="133" t="s">
        <v>56</v>
      </c>
      <c r="D42" s="132" t="s">
        <v>85</v>
      </c>
      <c r="E42" s="132" t="s">
        <v>60</v>
      </c>
      <c r="F42" s="134">
        <f>Server_Master</f>
        <v>4235</v>
      </c>
      <c r="G42" s="134">
        <f t="shared" si="33"/>
        <v>236127.50885478157</v>
      </c>
      <c r="H42" s="134">
        <f t="shared" si="34"/>
        <v>26.955195074746754</v>
      </c>
      <c r="I42" s="135">
        <f t="shared" si="35"/>
        <v>3.6418878433635449</v>
      </c>
      <c r="J42" s="136">
        <f t="shared" si="36"/>
        <v>0.99996612114781547</v>
      </c>
      <c r="K42" s="137">
        <f t="shared" si="41"/>
        <v>99.996612114781541</v>
      </c>
      <c r="L42" s="138">
        <f t="shared" si="37"/>
        <v>3.3878852184532349E-5</v>
      </c>
      <c r="M42" s="139">
        <f t="shared" si="38"/>
        <v>0.29677874513650337</v>
      </c>
      <c r="N42" s="139">
        <f t="shared" si="39"/>
        <v>17.806724708190202</v>
      </c>
      <c r="O42" s="163">
        <f t="shared" si="40"/>
        <v>1068.4034824914122</v>
      </c>
    </row>
    <row r="43" spans="2:15" ht="12.75" customHeight="1">
      <c r="B43" s="164">
        <v>3</v>
      </c>
      <c r="C43" s="141" t="s">
        <v>57</v>
      </c>
      <c r="D43" s="140" t="s">
        <v>86</v>
      </c>
      <c r="E43" s="140" t="s">
        <v>60</v>
      </c>
      <c r="F43" s="142">
        <f>Data_Storage</f>
        <v>4235</v>
      </c>
      <c r="G43" s="142">
        <f t="shared" si="33"/>
        <v>236127.50885478157</v>
      </c>
      <c r="H43" s="142">
        <f t="shared" si="34"/>
        <v>26.955195074746754</v>
      </c>
      <c r="I43" s="143">
        <f t="shared" si="35"/>
        <v>3.6418878433635449</v>
      </c>
      <c r="J43" s="144">
        <f t="shared" si="36"/>
        <v>0.99996612114781547</v>
      </c>
      <c r="K43" s="145">
        <f t="shared" si="41"/>
        <v>99.996612114781541</v>
      </c>
      <c r="L43" s="146">
        <f t="shared" si="37"/>
        <v>3.3878852184532349E-5</v>
      </c>
      <c r="M43" s="147">
        <f t="shared" si="38"/>
        <v>0.29677874513650337</v>
      </c>
      <c r="N43" s="147">
        <f t="shared" si="39"/>
        <v>17.806724708190202</v>
      </c>
      <c r="O43" s="165">
        <f t="shared" si="40"/>
        <v>1068.4034824914122</v>
      </c>
    </row>
    <row r="44" spans="2:15">
      <c r="B44" s="156" t="s">
        <v>87</v>
      </c>
      <c r="C44" s="149" t="s">
        <v>88</v>
      </c>
      <c r="D44" s="148">
        <v>1</v>
      </c>
      <c r="E44" s="148" t="s">
        <v>83</v>
      </c>
      <c r="F44" s="150">
        <f>Switch</f>
        <v>9626</v>
      </c>
      <c r="G44" s="150">
        <f t="shared" si="33"/>
        <v>103885.31061707874</v>
      </c>
      <c r="H44" s="150">
        <f t="shared" si="34"/>
        <v>11.859053723410813</v>
      </c>
      <c r="I44" s="151">
        <f t="shared" si="35"/>
        <v>8.0866370785909414</v>
      </c>
      <c r="J44" s="152">
        <f t="shared" si="36"/>
        <v>0.99992299792977546</v>
      </c>
      <c r="K44" s="153">
        <f>100*J44</f>
        <v>99.992299792977548</v>
      </c>
      <c r="L44" s="154">
        <f t="shared" si="37"/>
        <v>7.7002070224541086E-5</v>
      </c>
      <c r="M44" s="155">
        <f t="shared" si="38"/>
        <v>0.67453813516697991</v>
      </c>
      <c r="N44" s="155">
        <f t="shared" si="39"/>
        <v>40.472288110018795</v>
      </c>
      <c r="O44" s="157">
        <f t="shared" si="40"/>
        <v>2428.3372866011277</v>
      </c>
    </row>
    <row r="45" spans="2:15" ht="13.8" thickBot="1">
      <c r="B45" s="166" t="s">
        <v>87</v>
      </c>
      <c r="C45" s="168" t="s">
        <v>89</v>
      </c>
      <c r="D45" s="167">
        <v>1</v>
      </c>
      <c r="E45" s="167" t="s">
        <v>83</v>
      </c>
      <c r="F45" s="169">
        <f>Switch</f>
        <v>9626</v>
      </c>
      <c r="G45" s="169">
        <f t="shared" si="33"/>
        <v>103885.31061707874</v>
      </c>
      <c r="H45" s="169">
        <f t="shared" si="34"/>
        <v>11.859053723410813</v>
      </c>
      <c r="I45" s="170">
        <f t="shared" si="35"/>
        <v>8.0866370785909414</v>
      </c>
      <c r="J45" s="171">
        <f t="shared" si="36"/>
        <v>0.99992299792977546</v>
      </c>
      <c r="K45" s="172">
        <f>100*J45</f>
        <v>99.992299792977548</v>
      </c>
      <c r="L45" s="173">
        <f t="shared" si="37"/>
        <v>7.7002070224541086E-5</v>
      </c>
      <c r="M45" s="174">
        <f t="shared" si="38"/>
        <v>0.67453813516697991</v>
      </c>
      <c r="N45" s="174">
        <f t="shared" si="39"/>
        <v>40.472288110018795</v>
      </c>
      <c r="O45" s="175">
        <f t="shared" si="40"/>
        <v>2428.3372866011277</v>
      </c>
    </row>
    <row r="46" spans="2:15" ht="12.75" customHeight="1"/>
  </sheetData>
  <mergeCells count="14">
    <mergeCell ref="B28:O28"/>
    <mergeCell ref="D7:D8"/>
    <mergeCell ref="E7:E8"/>
    <mergeCell ref="F7:F8"/>
    <mergeCell ref="G7:G8"/>
    <mergeCell ref="H7:H8"/>
    <mergeCell ref="I7:I8"/>
    <mergeCell ref="B7:B8"/>
    <mergeCell ref="C7:C8"/>
    <mergeCell ref="J7:J8"/>
    <mergeCell ref="K7:K8"/>
    <mergeCell ref="L7:L8"/>
    <mergeCell ref="M7:O7"/>
    <mergeCell ref="B9:O9"/>
  </mergeCells>
  <printOptions horizontalCentered="1" verticalCentered="1"/>
  <pageMargins left="0.19685039370078741" right="0.19685039370078741" top="0.39370078740157483" bottom="0.39370078740157483" header="0.19685039370078741" footer="0.19685039370078741"/>
  <pageSetup paperSize="9" scale="89" orientation="landscape" r:id="rId1"/>
  <headerFooter alignWithMargins="0">
    <oddHeader>&amp;C&amp;G&amp;L&amp;"Arial Black"&amp;10&amp;K76923C&amp;1#</oddHeader>
    <oddFooter>&amp;L&amp;9TRN: xxxx-xxxxxxxxxx
ANV: 3BU XXXXX XXXX XXXXX&amp;C&amp;9©THALES All Rights Reserved &amp;R&amp;8&amp;P/&amp;N
Template: 83530213-DOC-AUT-EN / 002</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B0633-6B3E-46E0-ABA8-784642583355}">
  <dimension ref="C2:W34"/>
  <sheetViews>
    <sheetView showGridLines="0" topLeftCell="B1" workbookViewId="0">
      <selection activeCell="I29" sqref="I29"/>
    </sheetView>
  </sheetViews>
  <sheetFormatPr defaultRowHeight="13.2"/>
  <cols>
    <col min="3" max="3" width="13" customWidth="1"/>
    <col min="4" max="4" width="40.33203125" bestFit="1" customWidth="1"/>
    <col min="5" max="5" width="11.109375" customWidth="1"/>
    <col min="6" max="6" width="10" bestFit="1" customWidth="1"/>
    <col min="11" max="11" width="12.33203125" customWidth="1"/>
    <col min="12" max="12" width="10.88671875" bestFit="1" customWidth="1"/>
    <col min="14" max="14" width="13.44140625" bestFit="1" customWidth="1"/>
    <col min="16" max="16" width="19.6640625" bestFit="1" customWidth="1"/>
    <col min="23" max="23" width="9.88671875" bestFit="1" customWidth="1"/>
  </cols>
  <sheetData>
    <row r="2" spans="3:23">
      <c r="I2" s="268" t="s">
        <v>91</v>
      </c>
      <c r="J2" s="269"/>
    </row>
    <row r="3" spans="3:23" ht="13.8" thickBot="1">
      <c r="C3" s="49"/>
      <c r="D3" s="49"/>
      <c r="I3" s="270">
        <v>30</v>
      </c>
      <c r="J3" s="271" t="s">
        <v>92</v>
      </c>
    </row>
    <row r="4" spans="3:23" ht="24.6" thickBot="1">
      <c r="D4" s="272" t="s">
        <v>93</v>
      </c>
      <c r="K4" s="479" t="s">
        <v>7</v>
      </c>
      <c r="L4" s="480"/>
      <c r="M4" s="480"/>
      <c r="N4" s="481"/>
      <c r="O4" s="482" t="s">
        <v>94</v>
      </c>
      <c r="P4" s="63" t="s">
        <v>95</v>
      </c>
      <c r="Q4" s="485" t="s">
        <v>77</v>
      </c>
      <c r="R4" s="486"/>
      <c r="S4" s="486"/>
      <c r="T4" s="487"/>
      <c r="V4" s="249" t="s">
        <v>94</v>
      </c>
      <c r="W4" s="250">
        <f>1/60</f>
        <v>1.6666666666666666E-2</v>
      </c>
    </row>
    <row r="5" spans="3:23">
      <c r="K5" s="63" t="s">
        <v>96</v>
      </c>
      <c r="L5" s="63" t="s">
        <v>97</v>
      </c>
      <c r="M5" s="63" t="s">
        <v>98</v>
      </c>
      <c r="N5" s="491" t="s">
        <v>99</v>
      </c>
      <c r="O5" s="483"/>
      <c r="P5" s="492" t="s">
        <v>100</v>
      </c>
      <c r="Q5" s="488"/>
      <c r="R5" s="489"/>
      <c r="S5" s="489"/>
      <c r="T5" s="490"/>
    </row>
    <row r="6" spans="3:23">
      <c r="E6" s="242" t="s">
        <v>101</v>
      </c>
      <c r="F6" s="243" t="s">
        <v>102</v>
      </c>
      <c r="G6" s="243" t="s">
        <v>103</v>
      </c>
      <c r="H6" s="243" t="s">
        <v>104</v>
      </c>
      <c r="I6" s="243" t="s">
        <v>91</v>
      </c>
      <c r="J6" s="244" t="s">
        <v>105</v>
      </c>
      <c r="K6" s="494" t="s">
        <v>106</v>
      </c>
      <c r="L6" s="494"/>
      <c r="M6" s="494"/>
      <c r="N6" s="491"/>
      <c r="O6" s="484"/>
      <c r="P6" s="493"/>
      <c r="Q6" s="248" t="s">
        <v>107</v>
      </c>
      <c r="R6" s="63" t="s">
        <v>108</v>
      </c>
      <c r="S6" s="63" t="s">
        <v>109</v>
      </c>
      <c r="T6" s="63" t="s">
        <v>110</v>
      </c>
    </row>
    <row r="7" spans="3:23">
      <c r="C7" s="476" t="s">
        <v>111</v>
      </c>
      <c r="D7" s="236" t="s">
        <v>112</v>
      </c>
      <c r="E7" s="236" t="s">
        <v>113</v>
      </c>
      <c r="F7" s="238">
        <v>1</v>
      </c>
      <c r="G7" s="238">
        <v>1</v>
      </c>
      <c r="H7" s="238">
        <v>8</v>
      </c>
      <c r="I7" s="238">
        <v>4</v>
      </c>
      <c r="J7" s="238">
        <f>$I$3-I7</f>
        <v>26</v>
      </c>
      <c r="K7" s="256">
        <f>(2*('4.1 Calculations 2x(2oo2)'!D8*'4.1 Calculations 2x(2oo2)'!D12)*nano^2)*W4/nano+'4.1 Calculations 2x(2oo2)'!Network</f>
        <v>4.4484213490416664</v>
      </c>
      <c r="L7" s="257">
        <f>1/(nano*K7)</f>
        <v>224798849.19521669</v>
      </c>
      <c r="M7" s="257">
        <f>1/(hours_per_year*nano*K7)</f>
        <v>25661.96908621195</v>
      </c>
      <c r="N7" s="258">
        <f>100*(1-EXP(-1/M7))</f>
        <v>3.8967411768342508E-3</v>
      </c>
      <c r="O7" s="259">
        <f>$W$4</f>
        <v>1.6666666666666666E-2</v>
      </c>
      <c r="P7" s="260">
        <f>100*(1-K7*nano*$W$4)</f>
        <v>99.99999999258597</v>
      </c>
      <c r="Q7" s="261">
        <f>1-P7/100</f>
        <v>7.4140249495258104E-11</v>
      </c>
      <c r="R7" s="262">
        <f>Q7*hours_per_year</f>
        <v>6.4946858557846099E-7</v>
      </c>
      <c r="S7" s="263">
        <f>Q7*min_per_year</f>
        <v>3.8968115134707659E-5</v>
      </c>
      <c r="T7" s="264">
        <f>Q7*secs_per_year</f>
        <v>2.3380869080824596E-3</v>
      </c>
    </row>
    <row r="8" spans="3:23">
      <c r="C8" s="477"/>
      <c r="D8" s="235" t="s">
        <v>114</v>
      </c>
      <c r="E8" s="235" t="s">
        <v>115</v>
      </c>
      <c r="F8" s="239">
        <v>7</v>
      </c>
      <c r="G8" s="239">
        <f>F8</f>
        <v>7</v>
      </c>
      <c r="H8" s="239">
        <f>H7*F8</f>
        <v>56</v>
      </c>
      <c r="I8" s="239">
        <f>F8*I7</f>
        <v>28</v>
      </c>
      <c r="J8" s="239">
        <f>$I$3-I8</f>
        <v>2</v>
      </c>
      <c r="K8" s="103">
        <f>(1/L8)/nano</f>
        <v>31.138904804168924</v>
      </c>
      <c r="L8" s="57">
        <f>P8*$W$4/(1-P8)</f>
        <v>32114167.350745052</v>
      </c>
      <c r="M8" s="57">
        <f>L8/hours_per_year</f>
        <v>3666.0008391261476</v>
      </c>
      <c r="N8" s="192">
        <f>100*(1-EXP(-1/M8))</f>
        <v>2.7273960587403945E-2</v>
      </c>
      <c r="O8" s="246">
        <f>$W$4</f>
        <v>1.6666666666666666E-2</v>
      </c>
      <c r="P8" s="182">
        <f>1-Q8</f>
        <v>0.99999999948101825</v>
      </c>
      <c r="Q8" s="55">
        <f>T8/secs_per_year</f>
        <v>5.1898174646680673E-10</v>
      </c>
      <c r="R8" s="54">
        <f>Q8*hours_per_year</f>
        <v>4.5462800990492269E-6</v>
      </c>
      <c r="S8" s="71">
        <f>Q8*min_per_year</f>
        <v>2.7277680594295362E-4</v>
      </c>
      <c r="T8" s="265">
        <f>T7*F8</f>
        <v>1.6366608356577217E-2</v>
      </c>
    </row>
    <row r="9" spans="3:23">
      <c r="C9" s="477"/>
      <c r="D9" s="235"/>
      <c r="E9" s="235"/>
      <c r="F9" s="239"/>
      <c r="G9" s="239"/>
      <c r="H9" s="239"/>
      <c r="I9" s="239"/>
      <c r="J9" s="239"/>
      <c r="K9" s="103"/>
      <c r="L9" s="57"/>
      <c r="M9" s="57"/>
      <c r="N9" s="192"/>
      <c r="O9" s="246"/>
      <c r="P9" s="182"/>
      <c r="Q9" s="55"/>
      <c r="R9" s="54"/>
      <c r="S9" s="71"/>
      <c r="T9" s="265"/>
    </row>
    <row r="10" spans="3:23" ht="21">
      <c r="C10" s="478"/>
      <c r="D10" s="237"/>
      <c r="E10" s="237"/>
      <c r="F10" s="247">
        <v>7</v>
      </c>
      <c r="G10" s="241">
        <f>G7*F10</f>
        <v>7</v>
      </c>
      <c r="H10" s="252">
        <f>F10*H7</f>
        <v>56</v>
      </c>
      <c r="I10" s="252">
        <f>F10*I7</f>
        <v>28</v>
      </c>
      <c r="J10" s="241">
        <f>$I$3-I10</f>
        <v>2</v>
      </c>
      <c r="K10" s="103">
        <f>(1/L10)/nano</f>
        <v>31.138904804168924</v>
      </c>
      <c r="L10" s="57">
        <f>P10*$W$4/(1-P10)</f>
        <v>32114167.350745052</v>
      </c>
      <c r="M10" s="57">
        <f>L10/hours_per_year</f>
        <v>3666.0008391261476</v>
      </c>
      <c r="N10" s="192">
        <f>100*(1-EXP(-1/M10))</f>
        <v>2.7273960587403945E-2</v>
      </c>
      <c r="O10" s="246">
        <f>$W$4</f>
        <v>1.6666666666666666E-2</v>
      </c>
      <c r="P10" s="182">
        <f>1-Q10</f>
        <v>0.99999999948101825</v>
      </c>
      <c r="Q10" s="55">
        <f>T10/secs_per_year</f>
        <v>5.1898174646680673E-10</v>
      </c>
      <c r="R10" s="54">
        <f>Q10*hours_per_year</f>
        <v>4.5462800990492269E-6</v>
      </c>
      <c r="S10" s="71">
        <f>Q10*min_per_year</f>
        <v>2.7277680594295362E-4</v>
      </c>
      <c r="T10" s="265">
        <f>T7*F10</f>
        <v>1.6366608356577217E-2</v>
      </c>
    </row>
    <row r="11" spans="3:23">
      <c r="C11" s="235"/>
      <c r="D11" s="235"/>
      <c r="E11" s="235"/>
      <c r="F11" s="239"/>
      <c r="G11" s="239"/>
      <c r="H11" s="239"/>
      <c r="I11" s="239"/>
      <c r="J11" s="239"/>
      <c r="K11" s="251"/>
      <c r="L11" s="239"/>
      <c r="M11" s="239"/>
      <c r="N11" s="239"/>
      <c r="O11" s="239"/>
      <c r="P11" s="239"/>
      <c r="Q11" s="239"/>
      <c r="R11" s="239"/>
      <c r="S11" s="239"/>
      <c r="T11" s="240"/>
    </row>
    <row r="12" spans="3:23">
      <c r="C12" s="476" t="s">
        <v>116</v>
      </c>
      <c r="D12" s="236" t="s">
        <v>117</v>
      </c>
      <c r="E12" s="236" t="s">
        <v>113</v>
      </c>
      <c r="F12" s="238">
        <v>1</v>
      </c>
      <c r="G12" s="238">
        <v>1</v>
      </c>
      <c r="H12" s="238">
        <v>8</v>
      </c>
      <c r="I12" s="238">
        <v>3</v>
      </c>
      <c r="J12" s="238">
        <f>$I$3-I12</f>
        <v>27</v>
      </c>
      <c r="K12" s="103">
        <f>6*('4.2 Calculations 2oo3_hot'!D9*nano)^2*'3.Overview'!W4/nano+'4.2 Calculations 2oo3_hot'!Network</f>
        <v>4.4638157504999993</v>
      </c>
      <c r="L12" s="57">
        <f>1/(nano*K12)</f>
        <v>224023583.38557956</v>
      </c>
      <c r="M12" s="57">
        <f>1/(hours_per_year*nano*K12)</f>
        <v>25573.468423011363</v>
      </c>
      <c r="N12" s="245">
        <f>100*(1-EXP(-1/M12))</f>
        <v>3.9102261460977061E-3</v>
      </c>
      <c r="O12" s="246">
        <f>$W$4</f>
        <v>1.6666666666666666E-2</v>
      </c>
      <c r="P12" s="182">
        <f>100*(1-K12*nano*$W$4)</f>
        <v>99.999999992560305</v>
      </c>
      <c r="Q12" s="55">
        <f>1-P12/100</f>
        <v>7.439693305855144E-11</v>
      </c>
      <c r="R12" s="54">
        <f>Q12*hours_per_year</f>
        <v>6.5171713359291061E-7</v>
      </c>
      <c r="S12" s="71">
        <f>Q12*min_per_year</f>
        <v>3.9103028015574637E-5</v>
      </c>
      <c r="T12" s="265">
        <f>Q12*secs_per_year</f>
        <v>2.3461816809344782E-3</v>
      </c>
    </row>
    <row r="13" spans="3:23">
      <c r="C13" s="477"/>
      <c r="D13" s="235" t="s">
        <v>118</v>
      </c>
      <c r="E13" s="235" t="s">
        <v>115</v>
      </c>
      <c r="F13" s="239">
        <v>9</v>
      </c>
      <c r="G13" s="239">
        <f>F13</f>
        <v>9</v>
      </c>
      <c r="H13" s="239">
        <f>H12*F13</f>
        <v>72</v>
      </c>
      <c r="I13" s="239">
        <f>F13*I12</f>
        <v>27</v>
      </c>
      <c r="J13" s="239">
        <f>$I$3-I13</f>
        <v>3</v>
      </c>
      <c r="K13" s="103">
        <f>(1/L13)/nano</f>
        <v>40.174343878517405</v>
      </c>
      <c r="L13" s="57">
        <f>P13*$W$4/(1-P13)</f>
        <v>24891507.949050393</v>
      </c>
      <c r="M13" s="57">
        <f>L13/hours_per_year</f>
        <v>2841.4963412157981</v>
      </c>
      <c r="N13" s="192">
        <f>100*(1-EXP(-1/M13))</f>
        <v>3.5186533324427227E-2</v>
      </c>
      <c r="O13" s="246">
        <f>$W$4</f>
        <v>1.6666666666666666E-2</v>
      </c>
      <c r="P13" s="182">
        <f>1-Q13</f>
        <v>0.9999999993304276</v>
      </c>
      <c r="Q13" s="55">
        <f>T13/secs_per_year</f>
        <v>6.6957239752696296E-10</v>
      </c>
      <c r="R13" s="54">
        <f>Q13*hours_per_year</f>
        <v>5.8654542023361955E-6</v>
      </c>
      <c r="S13" s="71">
        <f>Q13*min_per_year</f>
        <v>3.5192725214017173E-4</v>
      </c>
      <c r="T13" s="265">
        <f>T12*F13</f>
        <v>2.1115635128410304E-2</v>
      </c>
    </row>
    <row r="14" spans="3:23">
      <c r="C14" s="477"/>
      <c r="D14" s="235"/>
      <c r="E14" s="235"/>
      <c r="F14" s="239"/>
      <c r="G14" s="239"/>
      <c r="H14" s="239"/>
      <c r="I14" s="239"/>
      <c r="J14" s="239"/>
      <c r="K14" s="103"/>
      <c r="L14" s="57"/>
      <c r="M14" s="57"/>
      <c r="N14" s="192"/>
      <c r="O14" s="246"/>
      <c r="P14" s="182"/>
      <c r="Q14" s="55"/>
      <c r="R14" s="54"/>
      <c r="S14" s="71"/>
      <c r="T14" s="265"/>
    </row>
    <row r="15" spans="3:23" ht="21">
      <c r="C15" s="478"/>
      <c r="D15" s="237"/>
      <c r="E15" s="237"/>
      <c r="F15" s="247">
        <v>9</v>
      </c>
      <c r="G15" s="241">
        <f>G12*F15</f>
        <v>9</v>
      </c>
      <c r="H15" s="252">
        <f>F15*H12</f>
        <v>72</v>
      </c>
      <c r="I15" s="252">
        <f>F15*I12</f>
        <v>27</v>
      </c>
      <c r="J15" s="241">
        <f>$I$3-I15</f>
        <v>3</v>
      </c>
      <c r="K15" s="103">
        <f>(1/L15)/nano</f>
        <v>40.174343878517405</v>
      </c>
      <c r="L15" s="57">
        <f>P15*$W$4/(1-P15)</f>
        <v>24891507.949050393</v>
      </c>
      <c r="M15" s="57">
        <f>L15/hours_per_year</f>
        <v>2841.4963412157981</v>
      </c>
      <c r="N15" s="192">
        <f>100*(1-EXP(-1/M15))</f>
        <v>3.5186533324427227E-2</v>
      </c>
      <c r="O15" s="246">
        <f>$W$4</f>
        <v>1.6666666666666666E-2</v>
      </c>
      <c r="P15" s="182">
        <f>1-Q15</f>
        <v>0.9999999993304276</v>
      </c>
      <c r="Q15" s="55">
        <f>T15/secs_per_year</f>
        <v>6.6957239752696296E-10</v>
      </c>
      <c r="R15" s="54">
        <f>Q15*hours_per_year</f>
        <v>5.8654542023361955E-6</v>
      </c>
      <c r="S15" s="71">
        <f>Q15*min_per_year</f>
        <v>3.5192725214017173E-4</v>
      </c>
      <c r="T15" s="265">
        <f>T12*F15</f>
        <v>2.1115635128410304E-2</v>
      </c>
    </row>
    <row r="16" spans="3:23">
      <c r="C16" s="235"/>
      <c r="D16" s="235"/>
      <c r="E16" s="235"/>
      <c r="F16" s="239"/>
      <c r="G16" s="239"/>
      <c r="H16" s="239"/>
      <c r="I16" s="239"/>
      <c r="J16" s="239"/>
      <c r="K16" s="251"/>
      <c r="L16" s="239"/>
      <c r="M16" s="239"/>
      <c r="N16" s="239"/>
      <c r="O16" s="239"/>
      <c r="P16" s="239"/>
      <c r="Q16" s="239"/>
      <c r="R16" s="239"/>
      <c r="S16" s="239"/>
      <c r="T16" s="240"/>
    </row>
    <row r="17" spans="3:20">
      <c r="C17" s="476" t="s">
        <v>119</v>
      </c>
      <c r="D17" s="236" t="s">
        <v>120</v>
      </c>
      <c r="E17" s="236" t="s">
        <v>113</v>
      </c>
      <c r="F17" s="238">
        <v>1</v>
      </c>
      <c r="G17" s="238">
        <v>1</v>
      </c>
      <c r="H17" s="238">
        <v>8</v>
      </c>
      <c r="I17" s="238">
        <v>2</v>
      </c>
      <c r="J17" s="238">
        <f>$I$3-I17</f>
        <v>28</v>
      </c>
      <c r="K17" s="101">
        <f>'4.3 Calculations  Warm_standby'!D9</f>
        <v>12705</v>
      </c>
      <c r="L17" s="57">
        <f>1/(nano*K17)</f>
        <v>78709.169618260523</v>
      </c>
      <c r="M17" s="57">
        <f>1/(hours_per_year*nano*K17)</f>
        <v>8.9850650249155848</v>
      </c>
      <c r="N17" s="245">
        <f>100*(1-EXP(-1/M17))</f>
        <v>10.532593480424811</v>
      </c>
      <c r="O17" s="246">
        <f>$W$4</f>
        <v>1.6666666666666666E-2</v>
      </c>
      <c r="P17" s="182">
        <f>100*(1-K17*nano*$W$4)</f>
        <v>99.999978824999999</v>
      </c>
      <c r="Q17" s="55">
        <f>1-P17/100</f>
        <v>2.1174999997874977E-7</v>
      </c>
      <c r="R17" s="54">
        <f>Q17*hours_per_year</f>
        <v>1.854929999813848E-3</v>
      </c>
      <c r="S17" s="71">
        <f>Q17*min_per_year</f>
        <v>0.11129579998883088</v>
      </c>
      <c r="T17" s="265">
        <f>Q17*secs_per_year</f>
        <v>6.6777479993298527</v>
      </c>
    </row>
    <row r="18" spans="3:20">
      <c r="C18" s="477"/>
      <c r="D18" s="235" t="s">
        <v>121</v>
      </c>
      <c r="E18" s="235" t="s">
        <v>115</v>
      </c>
      <c r="F18" s="239">
        <v>14</v>
      </c>
      <c r="G18" s="239">
        <f>F18</f>
        <v>14</v>
      </c>
      <c r="H18" s="239">
        <f>H17*F18</f>
        <v>112</v>
      </c>
      <c r="I18" s="239">
        <f>F18*I17</f>
        <v>28</v>
      </c>
      <c r="J18" s="239">
        <f>$I$3-I18</f>
        <v>2</v>
      </c>
      <c r="K18" s="101">
        <f>(1/L18)/nano</f>
        <v>177870.52727932786</v>
      </c>
      <c r="L18" s="57">
        <f>P18*$W$4/(1-P18)</f>
        <v>5622.0668780590058</v>
      </c>
      <c r="M18" s="57">
        <f>L18/hours_per_year</f>
        <v>0.64178845639942994</v>
      </c>
      <c r="N18" s="192">
        <f>100*(1-EXP(-1/M18))</f>
        <v>78.947393703571393</v>
      </c>
      <c r="O18" s="246">
        <f>$W$4</f>
        <v>1.6666666666666666E-2</v>
      </c>
      <c r="P18" s="182">
        <f>1-Q18</f>
        <v>0.9999970355000003</v>
      </c>
      <c r="Q18" s="55">
        <f>T18/secs_per_year</f>
        <v>2.9644999997024968E-6</v>
      </c>
      <c r="R18" s="54">
        <f>Q18*hours_per_year</f>
        <v>2.5969019997393872E-2</v>
      </c>
      <c r="S18" s="71">
        <f>Q18*min_per_year</f>
        <v>1.5581411998436323</v>
      </c>
      <c r="T18" s="265">
        <f>T17*F18</f>
        <v>93.488471990617938</v>
      </c>
    </row>
    <row r="19" spans="3:20">
      <c r="C19" s="477"/>
      <c r="D19" s="235"/>
      <c r="E19" s="235"/>
      <c r="F19" s="239"/>
      <c r="G19" s="239"/>
      <c r="H19" s="239"/>
      <c r="I19" s="239"/>
      <c r="J19" s="239"/>
      <c r="K19" s="101"/>
      <c r="L19" s="57"/>
      <c r="M19" s="57"/>
      <c r="N19" s="192"/>
      <c r="O19" s="246"/>
      <c r="P19" s="182"/>
      <c r="Q19" s="55"/>
      <c r="R19" s="54"/>
      <c r="S19" s="71"/>
      <c r="T19" s="265"/>
    </row>
    <row r="20" spans="3:20" ht="21">
      <c r="C20" s="478"/>
      <c r="D20" s="237"/>
      <c r="E20" s="237"/>
      <c r="F20" s="247">
        <v>14</v>
      </c>
      <c r="G20" s="241">
        <f>G17*F20</f>
        <v>14</v>
      </c>
      <c r="H20" s="252">
        <f>F20*H17</f>
        <v>112</v>
      </c>
      <c r="I20" s="252">
        <f>F20*I17</f>
        <v>28</v>
      </c>
      <c r="J20" s="241">
        <f>$I$3-I20</f>
        <v>2</v>
      </c>
      <c r="K20" s="221">
        <f>(1/L20)/nano</f>
        <v>177870.52727932786</v>
      </c>
      <c r="L20" s="205">
        <f>P20*$W$4/(1-P20)</f>
        <v>5622.0668780590058</v>
      </c>
      <c r="M20" s="205">
        <f>L20/hours_per_year</f>
        <v>0.64178845639942994</v>
      </c>
      <c r="N20" s="223">
        <f>100*(1-EXP(-1/M20))</f>
        <v>78.947393703571393</v>
      </c>
      <c r="O20" s="266">
        <f>$W$4</f>
        <v>1.6666666666666666E-2</v>
      </c>
      <c r="P20" s="207">
        <f>1-Q20</f>
        <v>0.9999970355000003</v>
      </c>
      <c r="Q20" s="208">
        <f>T20/secs_per_year</f>
        <v>2.9644999997024968E-6</v>
      </c>
      <c r="R20" s="209">
        <f>Q20*hours_per_year</f>
        <v>2.5969019997393872E-2</v>
      </c>
      <c r="S20" s="210">
        <f>Q20*min_per_year</f>
        <v>1.5581411998436323</v>
      </c>
      <c r="T20" s="267">
        <f>T17*F20</f>
        <v>93.488471990617938</v>
      </c>
    </row>
    <row r="24" spans="3:20">
      <c r="N24" s="66"/>
      <c r="O24" s="231" t="s">
        <v>65</v>
      </c>
      <c r="P24" s="231" t="s">
        <v>66</v>
      </c>
    </row>
    <row r="25" spans="3:20">
      <c r="N25" s="231" t="s">
        <v>67</v>
      </c>
      <c r="O25" s="66">
        <v>99.998999999999995</v>
      </c>
      <c r="P25" s="253">
        <v>5.3</v>
      </c>
    </row>
    <row r="26" spans="3:20">
      <c r="N26" s="231" t="s">
        <v>68</v>
      </c>
      <c r="O26" s="66">
        <v>99.995000000000005</v>
      </c>
      <c r="P26" s="254">
        <v>26.3</v>
      </c>
    </row>
    <row r="27" spans="3:20">
      <c r="N27" s="231" t="s">
        <v>69</v>
      </c>
      <c r="O27" s="66">
        <v>99.99315</v>
      </c>
      <c r="P27" s="255">
        <v>36</v>
      </c>
    </row>
    <row r="32" spans="3:20">
      <c r="F32">
        <f>60/3</f>
        <v>20</v>
      </c>
      <c r="P32">
        <f>10/60</f>
        <v>0.16666666666666666</v>
      </c>
    </row>
    <row r="34" spans="18:18">
      <c r="R34">
        <f>0.0167*60</f>
        <v>1.002</v>
      </c>
    </row>
  </sheetData>
  <mergeCells count="9">
    <mergeCell ref="C12:C15"/>
    <mergeCell ref="C17:C20"/>
    <mergeCell ref="K4:N4"/>
    <mergeCell ref="O4:O6"/>
    <mergeCell ref="Q4:T5"/>
    <mergeCell ref="N5:N6"/>
    <mergeCell ref="P5:P6"/>
    <mergeCell ref="K6:M6"/>
    <mergeCell ref="C7:C10"/>
  </mergeCells>
  <conditionalFormatting sqref="S7:S8">
    <cfRule type="cellIs" dxfId="76" priority="12" operator="greaterThan">
      <formula>$P$26</formula>
    </cfRule>
  </conditionalFormatting>
  <conditionalFormatting sqref="S7:S10">
    <cfRule type="cellIs" dxfId="75" priority="23" operator="greaterThan">
      <formula>$P$25</formula>
    </cfRule>
  </conditionalFormatting>
  <conditionalFormatting sqref="S10">
    <cfRule type="cellIs" dxfId="74" priority="11" operator="greaterThan">
      <formula>$P$26</formula>
    </cfRule>
  </conditionalFormatting>
  <conditionalFormatting sqref="S12:S13">
    <cfRule type="cellIs" dxfId="73" priority="9" operator="greaterThan">
      <formula>$P$26</formula>
    </cfRule>
    <cfRule type="cellIs" dxfId="72" priority="10" operator="greaterThan">
      <formula>5.6</formula>
    </cfRule>
  </conditionalFormatting>
  <conditionalFormatting sqref="S14">
    <cfRule type="cellIs" dxfId="71" priority="19" operator="greaterThan">
      <formula>26.3</formula>
    </cfRule>
  </conditionalFormatting>
  <conditionalFormatting sqref="S15">
    <cfRule type="cellIs" dxfId="70" priority="3" operator="greaterThan">
      <formula>$P$26</formula>
    </cfRule>
    <cfRule type="cellIs" dxfId="69" priority="4" operator="greaterThan">
      <formula>$P$25</formula>
    </cfRule>
  </conditionalFormatting>
  <conditionalFormatting sqref="S17:S20">
    <cfRule type="cellIs" dxfId="68" priority="1" operator="greaterThan">
      <formula>$P$26</formula>
    </cfRule>
    <cfRule type="cellIs" dxfId="67" priority="2" operator="greaterThan">
      <formula>$P$25</formula>
    </cfRule>
  </conditionalFormatting>
  <pageMargins left="0.7" right="0.7" top="0.75" bottom="0.75" header="0.3" footer="0.3"/>
  <pageSetup paperSize="9" orientation="portrait" verticalDpi="0" r:id="rId1"/>
  <headerFooter>
    <oddHeader>&amp;L&amp;"Arial Black"&amp;10&amp;K76923C&amp;1#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8E52E-6B98-4C6C-9115-CAF975494DA1}">
  <sheetPr>
    <tabColor theme="6" tint="0.79998168889431442"/>
    <pageSetUpPr fitToPage="1"/>
  </sheetPr>
  <dimension ref="A4:Q174"/>
  <sheetViews>
    <sheetView showGridLines="0" topLeftCell="A109" zoomScaleNormal="100" zoomScaleSheetLayoutView="100" zoomScalePageLayoutView="115" workbookViewId="0">
      <selection activeCell="J132" sqref="J132"/>
    </sheetView>
  </sheetViews>
  <sheetFormatPr defaultColWidth="11.44140625" defaultRowHeight="13.2"/>
  <cols>
    <col min="1" max="1" width="11.44140625" style="13"/>
    <col min="2" max="2" width="9.88671875" style="13" customWidth="1"/>
    <col min="3" max="3" width="67.5546875" style="13" customWidth="1"/>
    <col min="4" max="4" width="14.44140625" style="13" customWidth="1"/>
    <col min="5" max="5" width="38.109375" style="13" bestFit="1" customWidth="1"/>
    <col min="6" max="6" width="12.33203125" style="13" customWidth="1"/>
    <col min="7" max="7" width="11.44140625" style="13"/>
    <col min="8" max="8" width="14.109375" style="13" bestFit="1" customWidth="1"/>
    <col min="9" max="9" width="20.5546875" style="13" customWidth="1"/>
    <col min="10" max="10" width="9.5546875" style="13" customWidth="1"/>
    <col min="11" max="11" width="9.6640625" style="13" customWidth="1"/>
    <col min="12" max="12" width="8.44140625" style="13" bestFit="1" customWidth="1"/>
    <col min="13" max="13" width="14.88671875" style="13" customWidth="1"/>
    <col min="14" max="14" width="12.5546875" style="13" bestFit="1" customWidth="1"/>
    <col min="15" max="15" width="14.33203125" style="13" bestFit="1" customWidth="1"/>
    <col min="16" max="16384" width="11.44140625" style="13"/>
  </cols>
  <sheetData>
    <row r="4" spans="3:17" ht="24">
      <c r="D4" s="479" t="s">
        <v>7</v>
      </c>
      <c r="E4" s="480"/>
      <c r="F4" s="480"/>
      <c r="G4" s="481"/>
      <c r="H4" s="482" t="s">
        <v>94</v>
      </c>
      <c r="I4" s="63" t="s">
        <v>95</v>
      </c>
      <c r="J4" s="485" t="s">
        <v>77</v>
      </c>
      <c r="K4" s="486"/>
      <c r="L4" s="486"/>
      <c r="M4" s="487"/>
      <c r="N4"/>
      <c r="O4"/>
      <c r="P4"/>
      <c r="Q4"/>
    </row>
    <row r="5" spans="3:17" ht="15" customHeight="1">
      <c r="C5" s="479" t="s">
        <v>122</v>
      </c>
      <c r="D5" s="63" t="s">
        <v>96</v>
      </c>
      <c r="E5" s="63" t="s">
        <v>97</v>
      </c>
      <c r="F5" s="63" t="s">
        <v>98</v>
      </c>
      <c r="G5" s="491" t="s">
        <v>99</v>
      </c>
      <c r="H5" s="483"/>
      <c r="I5" s="492" t="s">
        <v>100</v>
      </c>
      <c r="J5" s="488"/>
      <c r="K5" s="489"/>
      <c r="L5" s="489"/>
      <c r="M5" s="490"/>
      <c r="N5"/>
      <c r="O5"/>
      <c r="P5"/>
      <c r="Q5"/>
    </row>
    <row r="6" spans="3:17" ht="12.75" customHeight="1" thickBot="1">
      <c r="C6" s="496"/>
      <c r="D6" s="492" t="s">
        <v>106</v>
      </c>
      <c r="E6" s="492"/>
      <c r="F6" s="492"/>
      <c r="G6" s="487"/>
      <c r="H6" s="483"/>
      <c r="I6" s="497"/>
      <c r="J6" s="62" t="s">
        <v>107</v>
      </c>
      <c r="K6" s="70" t="s">
        <v>108</v>
      </c>
      <c r="L6" s="70" t="s">
        <v>109</v>
      </c>
      <c r="M6" s="70" t="s">
        <v>110</v>
      </c>
      <c r="N6"/>
      <c r="O6"/>
      <c r="P6"/>
      <c r="Q6"/>
    </row>
    <row r="7" spans="3:17" ht="12.75" customHeight="1">
      <c r="C7" s="91" t="s">
        <v>81</v>
      </c>
      <c r="D7" s="74"/>
      <c r="E7" s="75"/>
      <c r="F7" s="75"/>
      <c r="G7" s="75"/>
      <c r="H7" s="75"/>
      <c r="I7" s="75"/>
      <c r="J7" s="75"/>
      <c r="K7" s="75"/>
      <c r="L7" s="75"/>
      <c r="M7" s="92"/>
      <c r="N7"/>
      <c r="O7"/>
      <c r="P7"/>
      <c r="Q7"/>
    </row>
    <row r="8" spans="3:17" ht="12.75" customHeight="1">
      <c r="C8" s="89" t="s">
        <v>123</v>
      </c>
      <c r="D8" s="97">
        <f>D9+D10+Control_Plane</f>
        <v>21175</v>
      </c>
      <c r="E8" s="61">
        <f>1/(nano*D8)</f>
        <v>47225.501770956318</v>
      </c>
      <c r="F8" s="60">
        <f>1/(hours_per_year*nano*D8)</f>
        <v>5.3910390149493503</v>
      </c>
      <c r="G8" s="60">
        <f>100*(1-EXP(-1/F8))</f>
        <v>16.930534957687648</v>
      </c>
      <c r="H8" s="60" t="s">
        <v>124</v>
      </c>
      <c r="I8" s="110">
        <f>100*(1-D8*nano*MTTR_1h)</f>
        <v>99.997882500000003</v>
      </c>
      <c r="J8" s="59">
        <f>1-I8/100</f>
        <v>2.1174999999984401E-5</v>
      </c>
      <c r="K8" s="69">
        <f>J8*hours_per_year</f>
        <v>0.18549299999986335</v>
      </c>
      <c r="L8" s="72">
        <f>J8*min_per_year</f>
        <v>11.129579999991801</v>
      </c>
      <c r="M8" s="78">
        <f>J8*secs_per_year</f>
        <v>667.7747999995081</v>
      </c>
      <c r="N8"/>
      <c r="O8"/>
      <c r="P8"/>
      <c r="Q8"/>
    </row>
    <row r="9" spans="3:17" ht="12.75" customHeight="1">
      <c r="C9" s="88" t="s">
        <v>125</v>
      </c>
      <c r="D9" s="98">
        <f>1*Server_Master+1*Data_Storage</f>
        <v>8470</v>
      </c>
      <c r="E9" s="61">
        <f>1/(nano*D9)</f>
        <v>118063.75442739078</v>
      </c>
      <c r="F9" s="61">
        <f>1/(hours_per_year*nano*D9)</f>
        <v>13.477597537373377</v>
      </c>
      <c r="G9" s="60">
        <f t="shared" ref="G9:G10" si="0">100*(1-EXP(-1/F9))</f>
        <v>7.1511422160907117</v>
      </c>
      <c r="H9" s="60" t="s">
        <v>124</v>
      </c>
      <c r="I9" s="111">
        <f>100*(1-D9*nano*MTTR_1h)</f>
        <v>99.999152999999993</v>
      </c>
      <c r="J9" s="59">
        <f t="shared" ref="J9:J10" si="1">1-I9/100</f>
        <v>8.4700000000381692E-6</v>
      </c>
      <c r="K9" s="69">
        <f>J9*hours_per_year</f>
        <v>7.4197200000334362E-2</v>
      </c>
      <c r="L9" s="72">
        <f>J9*min_per_year</f>
        <v>4.4518320000200617</v>
      </c>
      <c r="M9" s="78">
        <f>J9*secs_per_year</f>
        <v>267.1099200012037</v>
      </c>
      <c r="N9"/>
      <c r="O9"/>
      <c r="P9"/>
      <c r="Q9"/>
    </row>
    <row r="10" spans="3:17" ht="12.75" customHeight="1">
      <c r="C10" s="90" t="s">
        <v>126</v>
      </c>
      <c r="D10" s="99">
        <f>1*Server_Master+1*Data_Storage</f>
        <v>8470</v>
      </c>
      <c r="E10" s="81">
        <f>1/(nano*D10)</f>
        <v>118063.75442739078</v>
      </c>
      <c r="F10" s="81">
        <f>1/(hours_per_year*nano*D10)</f>
        <v>13.477597537373377</v>
      </c>
      <c r="G10" s="82">
        <f t="shared" si="0"/>
        <v>7.1511422160907117</v>
      </c>
      <c r="H10" s="82" t="s">
        <v>124</v>
      </c>
      <c r="I10" s="112">
        <f>100*(1-D10*nano*MTTR_1h)</f>
        <v>99.999152999999993</v>
      </c>
      <c r="J10" s="83">
        <f t="shared" si="1"/>
        <v>8.4700000000381692E-6</v>
      </c>
      <c r="K10" s="84">
        <f>J10*hours_per_year</f>
        <v>7.4197200000334362E-2</v>
      </c>
      <c r="L10" s="85">
        <f>J10*min_per_year</f>
        <v>4.4518320000200617</v>
      </c>
      <c r="M10" s="86">
        <f>J10*secs_per_year</f>
        <v>267.1099200012037</v>
      </c>
      <c r="N10"/>
      <c r="O10"/>
      <c r="P10"/>
      <c r="Q10"/>
    </row>
    <row r="11" spans="3:17" ht="3.75" customHeight="1">
      <c r="C11" s="89"/>
      <c r="D11" s="98"/>
      <c r="E11" s="61"/>
      <c r="F11" s="61"/>
      <c r="G11" s="60"/>
      <c r="H11" s="60"/>
      <c r="I11" s="111"/>
      <c r="J11" s="59"/>
      <c r="K11" s="69"/>
      <c r="L11" s="72"/>
      <c r="M11" s="78"/>
      <c r="N11"/>
      <c r="O11"/>
      <c r="P11"/>
      <c r="Q11"/>
    </row>
    <row r="12" spans="3:17" ht="12.75" customHeight="1">
      <c r="C12" s="89" t="s">
        <v>127</v>
      </c>
      <c r="D12" s="97">
        <f>(D13+D14+Control_Slave)</f>
        <v>1058.75</v>
      </c>
      <c r="E12" s="61">
        <f>1/(nano*D12)</f>
        <v>944510.03541912627</v>
      </c>
      <c r="F12" s="61">
        <f>1/(hours_per_year*nano*D12)</f>
        <v>107.82078029898702</v>
      </c>
      <c r="G12" s="60">
        <f>100*(1-EXP(-1/F12))</f>
        <v>0.92317730921807062</v>
      </c>
      <c r="H12" s="60" t="s">
        <v>124</v>
      </c>
      <c r="I12" s="110">
        <f>100*(1-D12*nano*MTTR_1h)</f>
        <v>99.999894124999997</v>
      </c>
      <c r="J12" s="59">
        <f>1-I12/100</f>
        <v>1.0587500000047712E-6</v>
      </c>
      <c r="K12" s="69">
        <f>J12*hours_per_year</f>
        <v>9.2746500000417953E-3</v>
      </c>
      <c r="L12" s="72">
        <f>J12*min_per_year</f>
        <v>0.55647900000250772</v>
      </c>
      <c r="M12" s="78">
        <f>J12*secs_per_year</f>
        <v>33.388740000150463</v>
      </c>
      <c r="N12"/>
      <c r="O12"/>
      <c r="P12"/>
      <c r="Q12"/>
    </row>
    <row r="13" spans="3:17" ht="12.75" customHeight="1">
      <c r="C13" s="88" t="s">
        <v>128</v>
      </c>
      <c r="D13" s="98">
        <f>1*Server_Slave+1*Data_Slave</f>
        <v>423.5</v>
      </c>
      <c r="E13" s="61">
        <f>1/(nano*D13)</f>
        <v>2361275.088547816</v>
      </c>
      <c r="F13" s="61">
        <f>1/(hours_per_year*nano*D13)</f>
        <v>269.55195074746757</v>
      </c>
      <c r="G13" s="60">
        <f t="shared" ref="G13:G14" si="2">100*(1-EXP(-1/F13))</f>
        <v>0.37029869713418595</v>
      </c>
      <c r="H13" s="60" t="s">
        <v>124</v>
      </c>
      <c r="I13" s="111">
        <f>100*(1-D13*nano*MTTR_1h)</f>
        <v>99.999957649999999</v>
      </c>
      <c r="J13" s="59">
        <f t="shared" ref="J13:J14" si="3">1-I13/100</f>
        <v>4.2349999995749954E-7</v>
      </c>
      <c r="K13" s="69">
        <f>J13*hours_per_year</f>
        <v>3.709859999627696E-3</v>
      </c>
      <c r="L13" s="72">
        <f>J13*min_per_year</f>
        <v>0.22259159997766176</v>
      </c>
      <c r="M13" s="78">
        <f>J13*secs_per_year</f>
        <v>13.355495998659705</v>
      </c>
      <c r="N13"/>
      <c r="O13"/>
      <c r="P13"/>
      <c r="Q13"/>
    </row>
    <row r="14" spans="3:17" ht="12.75" customHeight="1">
      <c r="C14" s="90" t="s">
        <v>129</v>
      </c>
      <c r="D14" s="99">
        <f>1*Server_Slave+1*Data_Slave</f>
        <v>423.5</v>
      </c>
      <c r="E14" s="81">
        <f>1/(nano*D14)</f>
        <v>2361275.088547816</v>
      </c>
      <c r="F14" s="81">
        <f>1/(hours_per_year*nano*D14)</f>
        <v>269.55195074746757</v>
      </c>
      <c r="G14" s="82">
        <f t="shared" si="2"/>
        <v>0.37029869713418595</v>
      </c>
      <c r="H14" s="82" t="s">
        <v>124</v>
      </c>
      <c r="I14" s="112">
        <f>100*(1-D14*nano*MTTR_1h)</f>
        <v>99.999957649999999</v>
      </c>
      <c r="J14" s="83">
        <f t="shared" si="3"/>
        <v>4.2349999995749954E-7</v>
      </c>
      <c r="K14" s="84">
        <f>J14*hours_per_year</f>
        <v>3.709859999627696E-3</v>
      </c>
      <c r="L14" s="85">
        <f>J14*min_per_year</f>
        <v>0.22259159997766176</v>
      </c>
      <c r="M14" s="86">
        <f>J14*secs_per_year</f>
        <v>13.355495998659705</v>
      </c>
      <c r="N14"/>
      <c r="O14"/>
      <c r="P14"/>
      <c r="Q14"/>
    </row>
    <row r="15" spans="3:17" ht="16.5" customHeight="1">
      <c r="C15" s="89" t="s">
        <v>130</v>
      </c>
      <c r="D15" s="98">
        <f>3*Switch_hot</f>
        <v>4.4476740479999997</v>
      </c>
      <c r="E15" s="61">
        <f>1/(nano*D15)</f>
        <v>224836620.04181114</v>
      </c>
      <c r="F15" s="61">
        <f>1/(hours_per_year*nano*D15)</f>
        <v>25666.280826690767</v>
      </c>
      <c r="G15" s="60">
        <f>100*(1-EXP(-1/F15))</f>
        <v>3.8960865666237687E-3</v>
      </c>
      <c r="H15" s="60" t="s">
        <v>131</v>
      </c>
      <c r="I15" s="111">
        <f>100*(1-D15*nano*MTTR_8h)</f>
        <v>99.999996441860759</v>
      </c>
      <c r="J15" s="59">
        <f>1-I15/100</f>
        <v>3.5581392388017719E-8</v>
      </c>
      <c r="K15" s="58">
        <f>J15*hours_per_year</f>
        <v>3.1169299731903521E-4</v>
      </c>
      <c r="L15" s="72">
        <f>J15*min_per_year</f>
        <v>1.8701579839142113E-2</v>
      </c>
      <c r="M15" s="78">
        <f>J15*secs_per_year</f>
        <v>1.1220947903485268</v>
      </c>
      <c r="N15"/>
      <c r="O15"/>
      <c r="P15"/>
      <c r="Q15"/>
    </row>
    <row r="16" spans="3:17" ht="15" customHeight="1">
      <c r="C16" s="89" t="s">
        <v>132</v>
      </c>
      <c r="D16" s="98">
        <f>Switch_hot</f>
        <v>1.482558016</v>
      </c>
      <c r="E16" s="61">
        <f>1/(nano*D16)</f>
        <v>674509860.12543333</v>
      </c>
      <c r="F16" s="61">
        <f>1/(hours_per_year*nano*D16)</f>
        <v>76998.842480072301</v>
      </c>
      <c r="G16" s="60">
        <f>100*(1-EXP(-1/F16))</f>
        <v>1.2987123886754048E-3</v>
      </c>
      <c r="H16" s="60" t="s">
        <v>131</v>
      </c>
      <c r="I16" s="111">
        <f>100*(1-D16*nano*MTTR_8h)</f>
        <v>99.999998813953582</v>
      </c>
      <c r="J16" s="59">
        <f>1-I16/100</f>
        <v>1.1860464166346674E-8</v>
      </c>
      <c r="K16" s="58">
        <f>J16*hours_per_year</f>
        <v>1.0389766609719686E-4</v>
      </c>
      <c r="L16" s="72">
        <f>J16*min_per_year</f>
        <v>6.2338599658318117E-3</v>
      </c>
      <c r="M16" s="78">
        <f>J16*secs_per_year</f>
        <v>0.3740315979499087</v>
      </c>
      <c r="N16"/>
      <c r="O16"/>
      <c r="P16"/>
      <c r="Q16"/>
    </row>
    <row r="17" spans="3:17" ht="1.5" customHeight="1">
      <c r="C17" s="89"/>
      <c r="D17" s="98"/>
      <c r="E17" s="61"/>
      <c r="F17" s="61"/>
      <c r="G17" s="60"/>
      <c r="H17" s="60"/>
      <c r="I17" s="111"/>
      <c r="J17" s="59"/>
      <c r="K17" s="58"/>
      <c r="L17" s="72"/>
      <c r="M17" s="78"/>
      <c r="N17"/>
      <c r="O17"/>
      <c r="P17"/>
      <c r="Q17"/>
    </row>
    <row r="18" spans="3:17" ht="3.75" customHeight="1">
      <c r="C18" s="90"/>
      <c r="D18" s="100"/>
      <c r="E18" s="81"/>
      <c r="F18" s="81"/>
      <c r="G18" s="82"/>
      <c r="H18" s="82"/>
      <c r="I18" s="113"/>
      <c r="J18" s="83"/>
      <c r="K18" s="94"/>
      <c r="L18" s="95"/>
      <c r="M18" s="96"/>
      <c r="N18"/>
      <c r="O18"/>
      <c r="P18"/>
      <c r="Q18"/>
    </row>
    <row r="19" spans="3:17" ht="14.25" customHeight="1">
      <c r="C19" s="183" t="s">
        <v>112</v>
      </c>
      <c r="D19" s="184"/>
      <c r="E19" s="185"/>
      <c r="F19" s="185"/>
      <c r="G19" s="186"/>
      <c r="H19" s="186"/>
      <c r="I19" s="108"/>
      <c r="J19" s="187"/>
      <c r="K19" s="188"/>
      <c r="L19" s="189"/>
      <c r="M19" s="190"/>
      <c r="N19"/>
      <c r="O19"/>
      <c r="P19"/>
      <c r="Q19"/>
    </row>
    <row r="20" spans="3:17" ht="12.75" customHeight="1">
      <c r="C20" s="79" t="s">
        <v>133</v>
      </c>
      <c r="D20" s="181">
        <f>(2*($D$8*$D$12)*nano^2)*MTTR_2min/nano+Network</f>
        <v>4.4491686500833332</v>
      </c>
      <c r="E20" s="57">
        <f>1/(D20*nano)</f>
        <v>224761091.03692213</v>
      </c>
      <c r="F20" s="57">
        <f>1/(hours_per_year*nano*D20)</f>
        <v>25657.658794169191</v>
      </c>
      <c r="G20" s="56">
        <f>100*(1-EXP(-1/F20))</f>
        <v>3.8973957870336307E-3</v>
      </c>
      <c r="H20" s="56" t="s">
        <v>134</v>
      </c>
      <c r="I20" s="182">
        <f>E20/(E20+MTTR_2min)</f>
        <v>0.99999999985169441</v>
      </c>
      <c r="J20" s="55">
        <f>1-I20</f>
        <v>1.4830559003087274E-10</v>
      </c>
      <c r="K20" s="54">
        <f>J20*hours_per_year</f>
        <v>1.2991569686704452E-6</v>
      </c>
      <c r="L20" s="71">
        <f>J20*min_per_year</f>
        <v>7.794941812022671E-5</v>
      </c>
      <c r="M20" s="191">
        <f>J20*secs_per_year</f>
        <v>4.6769650872136026E-3</v>
      </c>
      <c r="N20"/>
      <c r="O20"/>
      <c r="P20"/>
      <c r="Q20"/>
    </row>
    <row r="21" spans="3:17" ht="12.75" customHeight="1">
      <c r="C21" s="79" t="s">
        <v>135</v>
      </c>
      <c r="D21" s="181">
        <f>(2*($D$8*$D$12)*nano^2)*MTTR_5min/nano+Network</f>
        <v>4.4514105532083326</v>
      </c>
      <c r="E21" s="57">
        <f>1/(nano*D21)</f>
        <v>224647892.62793446</v>
      </c>
      <c r="F21" s="57">
        <f>1/(hours_per_year*nano*D21)</f>
        <v>25644.736601362383</v>
      </c>
      <c r="G21" s="56">
        <f>100*(1-EXP(-1/F21))</f>
        <v>3.8993596176095657E-3</v>
      </c>
      <c r="H21" s="56" t="s">
        <v>136</v>
      </c>
      <c r="I21" s="182">
        <f>100*(1-D21*nano*MTTR_5min)</f>
        <v>99.999999962904923</v>
      </c>
      <c r="J21" s="55">
        <f>1-I21/100</f>
        <v>3.7095082561222625E-10</v>
      </c>
      <c r="K21" s="54">
        <f>J21*hours_per_year</f>
        <v>3.249529232363102E-6</v>
      </c>
      <c r="L21" s="71">
        <f>J21*min_per_year</f>
        <v>1.9497175394178612E-4</v>
      </c>
      <c r="M21" s="191">
        <f>J21*secs_per_year</f>
        <v>1.1698305236507167E-2</v>
      </c>
    </row>
    <row r="22" spans="3:17" ht="12.75" customHeight="1">
      <c r="C22" s="79" t="s">
        <v>137</v>
      </c>
      <c r="D22" s="181">
        <f>(2*($D$8*$D$12)*nano^2)*MTTR_10min/nano+Network</f>
        <v>4.4551470584166664</v>
      </c>
      <c r="E22" s="57">
        <f>1/(nano*D22)</f>
        <v>224459481.78316569</v>
      </c>
      <c r="F22" s="57">
        <f>1/(hours_per_year*nano*D22)</f>
        <v>25623.228514060011</v>
      </c>
      <c r="G22" s="56">
        <f>100*(1-EXP(-1/F22))</f>
        <v>3.9026326684843404E-3</v>
      </c>
      <c r="H22" s="56" t="s">
        <v>138</v>
      </c>
      <c r="I22" s="182">
        <f>100*(1-D22*nano*MTTR_10min)</f>
        <v>99.999999925747545</v>
      </c>
      <c r="J22" s="55">
        <f>1-I22/100</f>
        <v>7.4252459736356968E-10</v>
      </c>
      <c r="K22" s="54">
        <f>J22*hours_per_year</f>
        <v>6.5045154729048704E-6</v>
      </c>
      <c r="L22" s="71">
        <f>J22*min_per_year</f>
        <v>3.9027092837429223E-4</v>
      </c>
      <c r="M22" s="191">
        <f>J22*secs_per_year</f>
        <v>2.3416255702457534E-2</v>
      </c>
    </row>
    <row r="23" spans="3:17" ht="12.75" customHeight="1">
      <c r="C23" s="79" t="s">
        <v>139</v>
      </c>
      <c r="D23" s="181">
        <f>(2*($D$8*$D$12)*nano^2)*MTTR_1h/nano+Network</f>
        <v>4.4925121104999999</v>
      </c>
      <c r="E23" s="57">
        <f>1/(nano*D23)</f>
        <v>222592610.86080939</v>
      </c>
      <c r="F23" s="57">
        <f>1/(hours_per_year*nano*D23)</f>
        <v>25410.115395069563</v>
      </c>
      <c r="G23" s="56">
        <f>100*(1-EXP(-1/F23))</f>
        <v>3.9353631713479054E-3</v>
      </c>
      <c r="H23" s="56" t="s">
        <v>124</v>
      </c>
      <c r="I23" s="182">
        <f>100*(1-D23*nano*MTTR_1h)</f>
        <v>99.999999550748782</v>
      </c>
      <c r="J23" s="55">
        <f>1-I23/100</f>
        <v>4.4925121400751777E-9</v>
      </c>
      <c r="K23" s="54">
        <f>J23*hours_per_year</f>
        <v>3.9354406347058557E-5</v>
      </c>
      <c r="L23" s="71">
        <f>J23*min_per_year</f>
        <v>2.3612643808235134E-3</v>
      </c>
      <c r="M23" s="191">
        <f>J23*secs_per_year</f>
        <v>0.14167586284941081</v>
      </c>
    </row>
    <row r="24" spans="3:17" ht="14.25" customHeight="1">
      <c r="C24" s="183" t="s">
        <v>114</v>
      </c>
      <c r="D24" s="184"/>
      <c r="E24" s="185"/>
      <c r="F24" s="185"/>
      <c r="G24" s="186"/>
      <c r="H24" s="186"/>
      <c r="I24" s="108"/>
      <c r="J24" s="187"/>
      <c r="K24" s="188"/>
      <c r="L24" s="189"/>
      <c r="M24" s="190"/>
      <c r="N24" s="13" t="s">
        <v>140</v>
      </c>
    </row>
    <row r="25" spans="3:17" ht="12.75" customHeight="1">
      <c r="C25" s="79" t="s">
        <v>141</v>
      </c>
      <c r="D25" s="103">
        <f>(1/E25)/nano</f>
        <v>31.144173938815261</v>
      </c>
      <c r="E25" s="57">
        <f>I25*MTTR_2min/(1-I25)</f>
        <v>32108734.107527286</v>
      </c>
      <c r="F25" s="57">
        <f>E25/hours_per_year</f>
        <v>3665.3806058821101</v>
      </c>
      <c r="G25" s="192">
        <f>100*(1-EXP(-1/F25))</f>
        <v>2.7278575090350365E-2</v>
      </c>
      <c r="H25" s="56" t="s">
        <v>134</v>
      </c>
      <c r="I25" s="182">
        <f>1-J25</f>
        <v>0.99999999896186087</v>
      </c>
      <c r="J25" s="55">
        <f>M25/secs_per_year</f>
        <v>1.0381391302161092E-9</v>
      </c>
      <c r="K25" s="54">
        <f>J25*hours_per_year</f>
        <v>9.0940987806931162E-6</v>
      </c>
      <c r="L25" s="71">
        <f>J25*min_per_year</f>
        <v>5.4564592684158697E-4</v>
      </c>
      <c r="M25" s="191">
        <f>M20*7</f>
        <v>3.2738755610495218E-2</v>
      </c>
    </row>
    <row r="26" spans="3:17" ht="12.75" customHeight="1">
      <c r="C26" s="79" t="s">
        <v>142</v>
      </c>
      <c r="D26" s="103">
        <f>(1/E26)/nano</f>
        <v>31.159869432338457</v>
      </c>
      <c r="E26" s="57">
        <f>I26*MTTR_5min/(1-I26)</f>
        <v>32092560.66272781</v>
      </c>
      <c r="F26" s="57">
        <f>E26/hours_per_year</f>
        <v>3663.5343222292022</v>
      </c>
      <c r="G26" s="192">
        <f t="shared" ref="G26:G28" si="4">100*(1-EXP(-1/F26))</f>
        <v>2.7292320591132402E-2</v>
      </c>
      <c r="H26" s="56" t="s">
        <v>136</v>
      </c>
      <c r="I26" s="182">
        <f t="shared" ref="I26:I28" si="5">1-J26</f>
        <v>0.99999999740334422</v>
      </c>
      <c r="J26" s="55">
        <f>M26/secs_per_year</f>
        <v>2.5966557792855838E-9</v>
      </c>
      <c r="K26" s="54">
        <f>J26*hours_per_year</f>
        <v>2.2746704626541714E-5</v>
      </c>
      <c r="L26" s="71">
        <f>J26*min_per_year</f>
        <v>1.3648022775925028E-3</v>
      </c>
      <c r="M26" s="191">
        <f>M21*7</f>
        <v>8.188813665555017E-2</v>
      </c>
    </row>
    <row r="27" spans="3:17" ht="12.75" customHeight="1">
      <c r="C27" s="79" t="s">
        <v>143</v>
      </c>
      <c r="D27" s="103">
        <f>(1/E27)/nano</f>
        <v>31.186033251364702</v>
      </c>
      <c r="E27" s="57">
        <f>I27*MTTR_10min/(1-I27)</f>
        <v>32065636.303913064</v>
      </c>
      <c r="F27" s="57">
        <f>E27/hours_per_year</f>
        <v>3660.4607652868795</v>
      </c>
      <c r="G27" s="192">
        <f t="shared" si="4"/>
        <v>2.7315233838709485E-2</v>
      </c>
      <c r="H27" s="56" t="s">
        <v>138</v>
      </c>
      <c r="I27" s="182">
        <f t="shared" si="5"/>
        <v>0.99999999480232782</v>
      </c>
      <c r="J27" s="55">
        <f>M27/secs_per_year</f>
        <v>5.1976721815449878E-9</v>
      </c>
      <c r="K27" s="54">
        <f>J27*hours_per_year</f>
        <v>4.5531608310334093E-5</v>
      </c>
      <c r="L27" s="71">
        <f>J27*min_per_year</f>
        <v>2.7318964986200456E-3</v>
      </c>
      <c r="M27" s="191">
        <f>M22*7</f>
        <v>0.16391378991720273</v>
      </c>
    </row>
    <row r="28" spans="3:17" ht="12.75" customHeight="1">
      <c r="C28" s="79" t="s">
        <v>144</v>
      </c>
      <c r="D28" s="103">
        <f>(1/E28)/nano</f>
        <v>31.447585969476872</v>
      </c>
      <c r="E28" s="57">
        <f>I28*MTTR_1h/(1-I28)</f>
        <v>31798943.199347734</v>
      </c>
      <c r="F28" s="57">
        <f>E28/hours_per_year</f>
        <v>3630.0163469575041</v>
      </c>
      <c r="G28" s="192">
        <f t="shared" si="4"/>
        <v>2.7544291172654223E-2</v>
      </c>
      <c r="H28" s="56" t="s">
        <v>124</v>
      </c>
      <c r="I28" s="182">
        <f t="shared" si="5"/>
        <v>0.99999996855241502</v>
      </c>
      <c r="J28" s="55">
        <f>M28/secs_per_year</f>
        <v>3.1447584980526244E-8</v>
      </c>
      <c r="K28" s="54">
        <f>J28*hours_per_year</f>
        <v>2.754808444294099E-4</v>
      </c>
      <c r="L28" s="71">
        <f>J28*min_per_year</f>
        <v>1.6528850665764594E-2</v>
      </c>
      <c r="M28" s="191">
        <f>M23*7</f>
        <v>0.99173103994587564</v>
      </c>
    </row>
    <row r="29" spans="3:17" ht="12.75" customHeight="1">
      <c r="C29" s="79"/>
      <c r="D29" s="180"/>
      <c r="E29" s="57"/>
      <c r="F29" s="57"/>
      <c r="G29" s="192"/>
      <c r="H29" s="56"/>
      <c r="I29" s="182"/>
      <c r="J29" s="55"/>
      <c r="K29" s="54"/>
      <c r="L29" s="71"/>
      <c r="M29" s="191"/>
    </row>
    <row r="30" spans="3:17" ht="12.75" customHeight="1" thickBot="1">
      <c r="C30" s="193" t="s">
        <v>145</v>
      </c>
      <c r="D30" s="194">
        <f>D8+D12+Network+D16</f>
        <v>22239.680232063998</v>
      </c>
      <c r="E30" s="195"/>
      <c r="F30" s="195"/>
      <c r="G30" s="196"/>
      <c r="H30" s="196"/>
      <c r="I30" s="197"/>
      <c r="J30" s="198"/>
      <c r="K30" s="199"/>
      <c r="L30" s="200"/>
      <c r="M30" s="222"/>
    </row>
    <row r="31" spans="3:17" ht="13.8" thickBot="1">
      <c r="I31" s="114"/>
    </row>
    <row r="32" spans="3:17" ht="12.75" customHeight="1">
      <c r="C32" s="73" t="s">
        <v>90</v>
      </c>
      <c r="D32" s="76"/>
      <c r="E32" s="76"/>
      <c r="F32" s="76"/>
      <c r="G32" s="76"/>
      <c r="H32" s="76"/>
      <c r="I32" s="115"/>
      <c r="J32" s="76"/>
      <c r="K32" s="76"/>
      <c r="L32" s="76"/>
      <c r="M32" s="77"/>
    </row>
    <row r="33" spans="3:13" ht="12.75" customHeight="1">
      <c r="C33" s="89" t="s">
        <v>146</v>
      </c>
      <c r="D33" s="102">
        <f>D34+D35+Control_Slave</f>
        <v>1058.75</v>
      </c>
      <c r="E33" s="61">
        <f>1/(nano*D33)</f>
        <v>944510.03541912627</v>
      </c>
      <c r="F33" s="60">
        <f>1/(hours_per_year*nano*D33)</f>
        <v>107.82078029898702</v>
      </c>
      <c r="G33" s="60">
        <f>100*(1-EXP(-1/F33))</f>
        <v>0.92317730921807062</v>
      </c>
      <c r="H33" s="60" t="s">
        <v>124</v>
      </c>
      <c r="I33" s="110">
        <f>100*(1-D33*nano*MTTR_1h)</f>
        <v>99.999894124999997</v>
      </c>
      <c r="J33" s="59">
        <f>1-I33/100</f>
        <v>1.0587500000047712E-6</v>
      </c>
      <c r="K33" s="69">
        <f>J33*hours_per_year</f>
        <v>9.2746500000417953E-3</v>
      </c>
      <c r="L33" s="72">
        <f>J33*min_per_year</f>
        <v>0.55647900000250772</v>
      </c>
      <c r="M33" s="78">
        <f>J33*secs_per_year</f>
        <v>33.388740000150463</v>
      </c>
    </row>
    <row r="34" spans="3:13" ht="12.75" customHeight="1">
      <c r="C34" s="88" t="s">
        <v>147</v>
      </c>
      <c r="D34" s="98">
        <f>1*Server_Slave+1*Data_Slave</f>
        <v>423.5</v>
      </c>
      <c r="E34" s="61">
        <f>1/(nano*D34)</f>
        <v>2361275.088547816</v>
      </c>
      <c r="F34" s="61">
        <f>1/(hours_per_year*nano*D34)</f>
        <v>269.55195074746757</v>
      </c>
      <c r="G34" s="60">
        <f t="shared" ref="G34:G35" si="6">100*(1-EXP(-1/F34))</f>
        <v>0.37029869713418595</v>
      </c>
      <c r="H34" s="60" t="s">
        <v>124</v>
      </c>
      <c r="I34" s="111">
        <f>100*(1-D34*nano*MTTR_1h)</f>
        <v>99.999957649999999</v>
      </c>
      <c r="J34" s="59">
        <f t="shared" ref="J34:J35" si="7">1-I34/100</f>
        <v>4.2349999995749954E-7</v>
      </c>
      <c r="K34" s="69">
        <f>J34*hours_per_year</f>
        <v>3.709859999627696E-3</v>
      </c>
      <c r="L34" s="72">
        <f>J34*min_per_year</f>
        <v>0.22259159997766176</v>
      </c>
      <c r="M34" s="78">
        <f>J34*secs_per_year</f>
        <v>13.355495998659705</v>
      </c>
    </row>
    <row r="35" spans="3:13" ht="12.75" customHeight="1">
      <c r="C35" s="90" t="s">
        <v>148</v>
      </c>
      <c r="D35" s="99">
        <f>1*Server_Slave+1*Data_Slave</f>
        <v>423.5</v>
      </c>
      <c r="E35" s="81">
        <f>1/(nano*D35)</f>
        <v>2361275.088547816</v>
      </c>
      <c r="F35" s="81">
        <f>1/(hours_per_year*nano*D35)</f>
        <v>269.55195074746757</v>
      </c>
      <c r="G35" s="82">
        <f t="shared" si="6"/>
        <v>0.37029869713418595</v>
      </c>
      <c r="H35" s="82" t="s">
        <v>124</v>
      </c>
      <c r="I35" s="112">
        <f>100*(1-D35*nano*MTTR_1h)</f>
        <v>99.999957649999999</v>
      </c>
      <c r="J35" s="83">
        <f t="shared" si="7"/>
        <v>4.2349999995749954E-7</v>
      </c>
      <c r="K35" s="84">
        <f>J35*hours_per_year</f>
        <v>3.709859999627696E-3</v>
      </c>
      <c r="L35" s="85">
        <f>J35*min_per_year</f>
        <v>0.22259159997766176</v>
      </c>
      <c r="M35" s="86">
        <f>J35*secs_per_year</f>
        <v>13.355495998659705</v>
      </c>
    </row>
    <row r="36" spans="3:13" ht="4.5" customHeight="1">
      <c r="C36" s="89"/>
      <c r="D36" s="98"/>
      <c r="E36" s="61"/>
      <c r="F36" s="61"/>
      <c r="G36" s="60"/>
      <c r="H36" s="60"/>
      <c r="I36" s="111"/>
      <c r="J36" s="59"/>
      <c r="K36" s="69"/>
      <c r="L36" s="72"/>
      <c r="M36" s="78"/>
    </row>
    <row r="37" spans="3:13" ht="12.75" customHeight="1">
      <c r="C37" s="89" t="s">
        <v>149</v>
      </c>
      <c r="D37" s="97">
        <f>D38+D39+Control_Slave</f>
        <v>1058.75</v>
      </c>
      <c r="E37" s="61">
        <f>1/(nano*D37)</f>
        <v>944510.03541912627</v>
      </c>
      <c r="F37" s="61">
        <f>1/(hours_per_year*nano*D37)</f>
        <v>107.82078029898702</v>
      </c>
      <c r="G37" s="60">
        <f>100*(1-EXP(-1/F37))</f>
        <v>0.92317730921807062</v>
      </c>
      <c r="H37" s="60" t="s">
        <v>124</v>
      </c>
      <c r="I37" s="110">
        <f>100*(1-D37*nano*MTTR_1h)</f>
        <v>99.999894124999997</v>
      </c>
      <c r="J37" s="59">
        <f>1-I37/100</f>
        <v>1.0587500000047712E-6</v>
      </c>
      <c r="K37" s="69">
        <f>J37*hours_per_year</f>
        <v>9.2746500000417953E-3</v>
      </c>
      <c r="L37" s="72">
        <f>J37*min_per_year</f>
        <v>0.55647900000250772</v>
      </c>
      <c r="M37" s="78">
        <f>J37*secs_per_year</f>
        <v>33.388740000150463</v>
      </c>
    </row>
    <row r="38" spans="3:13" ht="12.75" customHeight="1">
      <c r="C38" s="88" t="s">
        <v>150</v>
      </c>
      <c r="D38" s="98">
        <f>1*Server_Slave+1*Data_Slave</f>
        <v>423.5</v>
      </c>
      <c r="E38" s="61">
        <f>1/(nano*D38)</f>
        <v>2361275.088547816</v>
      </c>
      <c r="F38" s="61">
        <f>1/(hours_per_year*nano*D38)</f>
        <v>269.55195074746757</v>
      </c>
      <c r="G38" s="60">
        <f t="shared" ref="G38:G39" si="8">100*(1-EXP(-1/F38))</f>
        <v>0.37029869713418595</v>
      </c>
      <c r="H38" s="60" t="s">
        <v>124</v>
      </c>
      <c r="I38" s="111">
        <f>100*(1-D38*nano*MTTR_1h)</f>
        <v>99.999957649999999</v>
      </c>
      <c r="J38" s="59">
        <f t="shared" ref="J38:J39" si="9">1-I38/100</f>
        <v>4.2349999995749954E-7</v>
      </c>
      <c r="K38" s="69">
        <f>J38*hours_per_year</f>
        <v>3.709859999627696E-3</v>
      </c>
      <c r="L38" s="72">
        <f>J38*min_per_year</f>
        <v>0.22259159997766176</v>
      </c>
      <c r="M38" s="78">
        <f>J38*secs_per_year</f>
        <v>13.355495998659705</v>
      </c>
    </row>
    <row r="39" spans="3:13" ht="12.75" customHeight="1">
      <c r="C39" s="90" t="s">
        <v>151</v>
      </c>
      <c r="D39" s="99">
        <f>1*Server_Slave+1*Data_Slave</f>
        <v>423.5</v>
      </c>
      <c r="E39" s="81">
        <f>1/(nano*D39)</f>
        <v>2361275.088547816</v>
      </c>
      <c r="F39" s="81">
        <f>1/(hours_per_year*nano*D39)</f>
        <v>269.55195074746757</v>
      </c>
      <c r="G39" s="82">
        <f t="shared" si="8"/>
        <v>0.37029869713418595</v>
      </c>
      <c r="H39" s="82" t="s">
        <v>124</v>
      </c>
      <c r="I39" s="112">
        <f>100*(1-D39*nano*MTTR_1h)</f>
        <v>99.999957649999999</v>
      </c>
      <c r="J39" s="83">
        <f t="shared" si="9"/>
        <v>4.2349999995749954E-7</v>
      </c>
      <c r="K39" s="84">
        <f>J39*hours_per_year</f>
        <v>3.709859999627696E-3</v>
      </c>
      <c r="L39" s="85">
        <f>J39*min_per_year</f>
        <v>0.22259159997766176</v>
      </c>
      <c r="M39" s="86">
        <f>J39*secs_per_year</f>
        <v>13.355495998659705</v>
      </c>
    </row>
    <row r="40" spans="3:13" ht="6" customHeight="1">
      <c r="C40" s="89"/>
      <c r="D40" s="98"/>
      <c r="E40" s="61"/>
      <c r="F40" s="61"/>
      <c r="G40" s="60"/>
      <c r="H40" s="60"/>
      <c r="I40" s="111"/>
      <c r="J40" s="59"/>
      <c r="K40" s="58"/>
      <c r="L40" s="72"/>
      <c r="M40" s="78"/>
    </row>
    <row r="41" spans="3:13" ht="14.25" customHeight="1">
      <c r="C41" s="89" t="s">
        <v>152</v>
      </c>
      <c r="D41" s="98">
        <f>3*Switch_hot</f>
        <v>4.4476740479999997</v>
      </c>
      <c r="E41" s="61">
        <f>1/(nano*D41)</f>
        <v>224836620.04181114</v>
      </c>
      <c r="F41" s="61">
        <f>1/(hours_per_year*nano*D41)</f>
        <v>25666.280826690767</v>
      </c>
      <c r="G41" s="60">
        <f>100*(1-EXP(-1/F41))</f>
        <v>3.8960865666237687E-3</v>
      </c>
      <c r="H41" s="60" t="s">
        <v>131</v>
      </c>
      <c r="I41" s="111">
        <f>100*(1-D41*nano*MTTR_8h)</f>
        <v>99.999996441860759</v>
      </c>
      <c r="J41" s="59">
        <f>1-I41/100</f>
        <v>3.5581392388017719E-8</v>
      </c>
      <c r="K41" s="58">
        <f>J41*hours_per_year</f>
        <v>3.1169299731903521E-4</v>
      </c>
      <c r="L41" s="72">
        <f>J41*min_per_year</f>
        <v>1.8701579839142113E-2</v>
      </c>
      <c r="M41" s="78">
        <f>J41*secs_per_year</f>
        <v>1.1220947903485268</v>
      </c>
    </row>
    <row r="42" spans="3:13" ht="14.25" customHeight="1">
      <c r="C42" s="89" t="s">
        <v>132</v>
      </c>
      <c r="D42" s="98">
        <f>Switch_hot</f>
        <v>1.482558016</v>
      </c>
      <c r="E42" s="61">
        <f>1/(nano*D42)</f>
        <v>674509860.12543333</v>
      </c>
      <c r="F42" s="61">
        <f>1/(hours_per_year*nano*D42)</f>
        <v>76998.842480072301</v>
      </c>
      <c r="G42" s="60">
        <f>100*(1-EXP(-1/F42))</f>
        <v>1.2987123886754048E-3</v>
      </c>
      <c r="H42" s="60" t="s">
        <v>131</v>
      </c>
      <c r="I42" s="111">
        <f>100*(1-D42*nano*MTTR_8h)</f>
        <v>99.999998813953582</v>
      </c>
      <c r="J42" s="59">
        <f>1-I42/100</f>
        <v>1.1860464166346674E-8</v>
      </c>
      <c r="K42" s="58">
        <f>J42*hours_per_year</f>
        <v>1.0389766609719686E-4</v>
      </c>
      <c r="L42" s="72">
        <f>J42*min_per_year</f>
        <v>6.2338599658318117E-3</v>
      </c>
      <c r="M42" s="78">
        <f>J42*secs_per_year</f>
        <v>0.3740315979499087</v>
      </c>
    </row>
    <row r="43" spans="3:13" ht="5.25" customHeight="1">
      <c r="C43" s="90"/>
      <c r="D43" s="100"/>
      <c r="E43" s="81"/>
      <c r="F43" s="81"/>
      <c r="G43" s="82"/>
      <c r="H43" s="82"/>
      <c r="I43" s="113"/>
      <c r="J43" s="83"/>
      <c r="K43" s="94"/>
      <c r="L43" s="95"/>
      <c r="M43" s="96"/>
    </row>
    <row r="44" spans="3:13" ht="12.75" customHeight="1">
      <c r="C44" s="183" t="s">
        <v>112</v>
      </c>
      <c r="D44" s="184"/>
      <c r="E44" s="185"/>
      <c r="F44" s="185"/>
      <c r="G44" s="186"/>
      <c r="H44" s="186"/>
      <c r="I44" s="108"/>
      <c r="J44" s="187"/>
      <c r="K44" s="188"/>
      <c r="L44" s="189"/>
      <c r="M44" s="190"/>
    </row>
    <row r="45" spans="3:13" ht="12.75" customHeight="1">
      <c r="C45" s="79" t="s">
        <v>133</v>
      </c>
      <c r="D45" s="181">
        <f>(2*($D$33*$D$37)*nano^2)*MTTR_2min/nano+$D$41</f>
        <v>4.4477487781041667</v>
      </c>
      <c r="E45" s="57">
        <f>1/(nano*D45)</f>
        <v>224832842.38599592</v>
      </c>
      <c r="F45" s="57">
        <f>1/(hours_per_year*nano*D45)</f>
        <v>25665.849587442455</v>
      </c>
      <c r="G45" s="56">
        <f>100*(1-EXP(-1/F45))</f>
        <v>3.8961520276492578E-3</v>
      </c>
      <c r="H45" s="56" t="s">
        <v>134</v>
      </c>
      <c r="I45" s="182">
        <f>100*(1-D45*nano*MTTR_2min)</f>
        <v>99.999999985174171</v>
      </c>
      <c r="J45" s="55">
        <f>1-I45/100</f>
        <v>1.482582945300237E-10</v>
      </c>
      <c r="K45" s="54">
        <f>J45*hours_per_year</f>
        <v>1.2987426600830076E-6</v>
      </c>
      <c r="L45" s="71">
        <f>J45*min_per_year</f>
        <v>7.7924559604980459E-5</v>
      </c>
      <c r="M45" s="191">
        <f>J45*secs_per_year</f>
        <v>4.6754735762988275E-3</v>
      </c>
    </row>
    <row r="46" spans="3:13" ht="12.75" customHeight="1">
      <c r="C46" s="79" t="s">
        <v>135</v>
      </c>
      <c r="D46" s="181">
        <f>(2*($D$33*$D$37)*nano^2)*MTTR_5min/nano+$D$41</f>
        <v>4.4478608732604163</v>
      </c>
      <c r="E46" s="57">
        <f>1/(nano*D46)</f>
        <v>224827176.14028466</v>
      </c>
      <c r="F46" s="57">
        <f>1/(hours_per_year*nano*D46)</f>
        <v>25665.202755740258</v>
      </c>
      <c r="G46" s="56">
        <f>100*(1-EXP(-1/F46))</f>
        <v>3.8962502191708381E-3</v>
      </c>
      <c r="H46" s="56" t="s">
        <v>136</v>
      </c>
      <c r="I46" s="182">
        <f>100*(1-D46*nano*MTTR_5min)</f>
        <v>99.999999962934496</v>
      </c>
      <c r="J46" s="55">
        <f>1-I46/100</f>
        <v>3.7065506219846611E-10</v>
      </c>
      <c r="K46" s="54">
        <f>J46*hours_per_year</f>
        <v>3.2469383448585631E-6</v>
      </c>
      <c r="L46" s="71">
        <f>J46*min_per_year</f>
        <v>1.9481630069151379E-4</v>
      </c>
      <c r="M46" s="191">
        <f>J46*secs_per_year</f>
        <v>1.1688978041490827E-2</v>
      </c>
    </row>
    <row r="47" spans="3:13" ht="12.75" customHeight="1">
      <c r="C47" s="79" t="s">
        <v>137</v>
      </c>
      <c r="D47" s="181">
        <f>(2*($D$33*$D$37)*nano^2)*MTTR_10min/nano+$D$41</f>
        <v>4.448047698520833</v>
      </c>
      <c r="E47" s="57">
        <f>1/(nano*D47)</f>
        <v>224817733.03207675</v>
      </c>
      <c r="F47" s="57">
        <f>1/(hours_per_year*nano*D47)</f>
        <v>25664.124775351222</v>
      </c>
      <c r="G47" s="56">
        <f>100*(1-EXP(-1/F47))</f>
        <v>3.8964138717290098E-3</v>
      </c>
      <c r="H47" s="56" t="s">
        <v>138</v>
      </c>
      <c r="I47" s="182">
        <f>100*(1-D47*nano*MTTR_10min)</f>
        <v>99.999999925865865</v>
      </c>
      <c r="J47" s="55">
        <f>1-I47/100</f>
        <v>7.4134132166392419E-10</v>
      </c>
      <c r="K47" s="54">
        <f>J47*hours_per_year</f>
        <v>6.4941499777759759E-6</v>
      </c>
      <c r="L47" s="71">
        <f>J47*min_per_year</f>
        <v>3.8964899866655855E-4</v>
      </c>
      <c r="M47" s="191">
        <f>J47*secs_per_year</f>
        <v>2.3378939919993513E-2</v>
      </c>
    </row>
    <row r="48" spans="3:13" ht="12.75" customHeight="1">
      <c r="C48" s="79" t="s">
        <v>153</v>
      </c>
      <c r="D48" s="181">
        <f>(2*($D$33*$D$37)*nano^2)*MTTR_1h/nano+$D$41</f>
        <v>4.4499159511249999</v>
      </c>
      <c r="E48" s="57">
        <f>1/(nano*D48)</f>
        <v>224723345.56053495</v>
      </c>
      <c r="F48" s="57">
        <f>1/(hours_per_year*nano*D48)</f>
        <v>25653.349949832755</v>
      </c>
      <c r="G48" s="56">
        <f>100*(1-EXP(-1/F48))</f>
        <v>3.8980503972219083E-3</v>
      </c>
      <c r="H48" s="56" t="s">
        <v>124</v>
      </c>
      <c r="I48" s="182">
        <f>100*(1-D48*nano*MTTR_1h)</f>
        <v>99.999999555008401</v>
      </c>
      <c r="J48" s="55">
        <f>1-I48/100</f>
        <v>4.4499159912447794E-9</v>
      </c>
      <c r="K48" s="54">
        <f>J48*hours_per_year</f>
        <v>3.8981264083304268E-5</v>
      </c>
      <c r="L48" s="71">
        <f>J48*min_per_year</f>
        <v>2.3388758449982561E-3</v>
      </c>
      <c r="M48" s="191">
        <f>J48*secs_per_year</f>
        <v>0.14033255069989536</v>
      </c>
    </row>
    <row r="49" spans="3:14" ht="12.75" customHeight="1">
      <c r="C49" s="183" t="s">
        <v>114</v>
      </c>
      <c r="D49" s="184"/>
      <c r="E49" s="185"/>
      <c r="F49" s="185"/>
      <c r="G49" s="186"/>
      <c r="H49" s="186"/>
      <c r="I49" s="108"/>
      <c r="J49" s="187"/>
      <c r="K49" s="188"/>
      <c r="L49" s="189"/>
      <c r="M49" s="190"/>
      <c r="N49" s="13" t="s">
        <v>140</v>
      </c>
    </row>
    <row r="50" spans="3:14" ht="12.75" customHeight="1">
      <c r="C50" s="79" t="s">
        <v>141</v>
      </c>
      <c r="D50" s="180">
        <f>(1/E50)/nano</f>
        <v>31.134241883616337</v>
      </c>
      <c r="E50" s="57">
        <f>I50*MTTR_2min/(1-I50)</f>
        <v>32118977.033008352</v>
      </c>
      <c r="F50" s="57">
        <f>E50/hours_per_year</f>
        <v>3666.5498896128256</v>
      </c>
      <c r="G50" s="192">
        <f>100*(1-EXP(-1/F50))</f>
        <v>2.7269876982982666E-2</v>
      </c>
      <c r="H50" s="56" t="s">
        <v>134</v>
      </c>
      <c r="I50" s="182">
        <f>1-J50</f>
        <v>0.99999999896219194</v>
      </c>
      <c r="J50" s="55">
        <f>M50/secs_per_year</f>
        <v>1.0378080617101659E-9</v>
      </c>
      <c r="K50" s="54">
        <f>J50*hours_per_year</f>
        <v>9.0911986205810535E-6</v>
      </c>
      <c r="L50" s="71">
        <f>J50*min_per_year</f>
        <v>5.4547191723486321E-4</v>
      </c>
      <c r="M50" s="191">
        <f>M45*7</f>
        <v>3.2728315034091793E-2</v>
      </c>
    </row>
    <row r="51" spans="3:14" ht="12.75" customHeight="1">
      <c r="C51" s="79" t="s">
        <v>142</v>
      </c>
      <c r="D51" s="180">
        <f>(1/E51)/nano</f>
        <v>31.135025305453638</v>
      </c>
      <c r="E51" s="57">
        <f>I51*MTTR_5min/(1-I51)</f>
        <v>32118168.852904037</v>
      </c>
      <c r="F51" s="57">
        <f>E51/hours_per_year</f>
        <v>3666.4576316100497</v>
      </c>
      <c r="G51" s="192">
        <f t="shared" ref="G51:G53" si="10">100*(1-EXP(-1/F51))</f>
        <v>2.7270563073367171E-2</v>
      </c>
      <c r="H51" s="56" t="s">
        <v>136</v>
      </c>
      <c r="I51" s="182">
        <f t="shared" ref="I51:I53" si="11">1-J51</f>
        <v>0.99999999740541456</v>
      </c>
      <c r="J51" s="55">
        <f>M51/secs_per_year</f>
        <v>2.5945854353892628E-9</v>
      </c>
      <c r="K51" s="54">
        <f>J51*hours_per_year</f>
        <v>2.2728568414009942E-5</v>
      </c>
      <c r="L51" s="71">
        <f>J51*min_per_year</f>
        <v>1.3637141048405965E-3</v>
      </c>
      <c r="M51" s="191">
        <f>M46*7</f>
        <v>8.1822846290435791E-2</v>
      </c>
    </row>
    <row r="52" spans="3:14" ht="12.75" customHeight="1">
      <c r="C52" s="79" t="s">
        <v>143</v>
      </c>
      <c r="D52" s="180">
        <f>(1/E52)/nano</f>
        <v>31.136335671463382</v>
      </c>
      <c r="E52" s="57">
        <f>I52*MTTR_10min/(1-I52)</f>
        <v>32116817.166655399</v>
      </c>
      <c r="F52" s="57">
        <f>E52/hours_per_year</f>
        <v>3666.3033295268719</v>
      </c>
      <c r="G52" s="192">
        <f t="shared" si="10"/>
        <v>2.7271710640952573E-2</v>
      </c>
      <c r="H52" s="56" t="s">
        <v>138</v>
      </c>
      <c r="I52" s="182">
        <f t="shared" si="11"/>
        <v>0.99999999481061075</v>
      </c>
      <c r="J52" s="55">
        <f>M52/secs_per_year</f>
        <v>5.1893892516474693E-9</v>
      </c>
      <c r="K52" s="54">
        <f>J52*hours_per_year</f>
        <v>4.5459049844431831E-5</v>
      </c>
      <c r="L52" s="71">
        <f>J52*min_per_year</f>
        <v>2.7275429906659099E-3</v>
      </c>
      <c r="M52" s="191">
        <f>M47*7</f>
        <v>0.16365257943995459</v>
      </c>
    </row>
    <row r="53" spans="3:14" ht="12.75" customHeight="1">
      <c r="C53" s="79" t="s">
        <v>154</v>
      </c>
      <c r="D53" s="180">
        <f>(1/E53)/nano</f>
        <v>31.149412908999349</v>
      </c>
      <c r="E53" s="57">
        <f>I53*MTTR_1h/(1-I53)</f>
        <v>32103333.790637538</v>
      </c>
      <c r="F53" s="57">
        <f>E53/hours_per_year</f>
        <v>3664.7641313513172</v>
      </c>
      <c r="G53" s="192">
        <f t="shared" si="10"/>
        <v>2.7283163176217151E-2</v>
      </c>
      <c r="H53" s="56" t="s">
        <v>124</v>
      </c>
      <c r="I53" s="182">
        <f t="shared" si="11"/>
        <v>0.99999996885058806</v>
      </c>
      <c r="J53" s="55">
        <f>M53/secs_per_year</f>
        <v>3.1149411938713456E-8</v>
      </c>
      <c r="K53" s="54">
        <f>J53*hours_per_year</f>
        <v>2.7286884858312987E-4</v>
      </c>
      <c r="L53" s="71">
        <f>J53*min_per_year</f>
        <v>1.6372130914987792E-2</v>
      </c>
      <c r="M53" s="191">
        <f>M48*7</f>
        <v>0.98232785489926755</v>
      </c>
    </row>
    <row r="54" spans="3:14" ht="12.75" customHeight="1">
      <c r="C54" s="79"/>
      <c r="D54" s="180"/>
      <c r="E54" s="57"/>
      <c r="F54" s="57"/>
      <c r="G54" s="192"/>
      <c r="H54" s="56"/>
      <c r="I54" s="182"/>
      <c r="J54" s="55"/>
      <c r="K54" s="54"/>
      <c r="L54" s="71"/>
      <c r="M54" s="191"/>
    </row>
    <row r="55" spans="3:14" ht="12.75" customHeight="1" thickBot="1">
      <c r="C55" s="193" t="s">
        <v>155</v>
      </c>
      <c r="D55" s="194">
        <f>D33+D37+D41+D42</f>
        <v>2123.4302320639999</v>
      </c>
      <c r="E55" s="195"/>
      <c r="F55" s="195"/>
      <c r="G55" s="196"/>
      <c r="H55" s="196"/>
      <c r="I55" s="197"/>
      <c r="J55" s="198"/>
      <c r="K55" s="199"/>
      <c r="L55" s="202"/>
      <c r="M55" s="222"/>
    </row>
    <row r="56" spans="3:14" ht="13.8" thickBot="1"/>
    <row r="57" spans="3:14" ht="12.75" customHeight="1">
      <c r="C57" s="73" t="s">
        <v>156</v>
      </c>
      <c r="D57" s="76"/>
      <c r="E57" s="76"/>
      <c r="F57" s="76"/>
      <c r="G57" s="76"/>
      <c r="H57" s="76"/>
      <c r="I57" s="76"/>
      <c r="J57" s="76"/>
      <c r="K57" s="76"/>
      <c r="L57" s="76"/>
      <c r="M57" s="77"/>
    </row>
    <row r="58" spans="3:14" customFormat="1">
      <c r="C58" s="87" t="s">
        <v>157</v>
      </c>
      <c r="D58" s="192">
        <f>(2*($D$30*$D$55)*nano^2)*MTTR_1h/nano</f>
        <v>9.4448818712401614E-2</v>
      </c>
      <c r="E58" s="57">
        <f t="shared" ref="E58" si="12">1/(nano*D58)</f>
        <v>10587744914.470749</v>
      </c>
      <c r="F58" s="57">
        <f t="shared" ref="F58" si="13">1/(hours_per_year*nano*D58)</f>
        <v>1208646.6797341038</v>
      </c>
      <c r="G58" s="56">
        <f t="shared" ref="G58" si="14">100*(1-EXP(-1/F58))</f>
        <v>8.2737130968624228E-5</v>
      </c>
      <c r="H58" s="56" t="s">
        <v>124</v>
      </c>
      <c r="I58" s="182">
        <f>100*(1-D58*nano*MTTR_1h)</f>
        <v>99.999999990555125</v>
      </c>
      <c r="J58" s="55">
        <f t="shared" ref="J58" si="15">1-I58/100</f>
        <v>9.4448782128608855E-11</v>
      </c>
      <c r="K58" s="54">
        <f t="shared" ref="K58" si="16">J58*hours_per_year</f>
        <v>8.2737133144661357E-7</v>
      </c>
      <c r="L58" s="71">
        <f t="shared" ref="L58" si="17">J58*min_per_year</f>
        <v>4.9642279886796814E-5</v>
      </c>
      <c r="M58" s="80">
        <f t="shared" ref="M58" si="18">J58*secs_per_year</f>
        <v>2.9785367932078088E-3</v>
      </c>
    </row>
    <row r="59" spans="3:14" customFormat="1">
      <c r="C59" s="226"/>
      <c r="D59" s="223">
        <f>(2*($D$30*$D$55)*nano^2)*MTTR_15min/nano</f>
        <v>2.3612204678100403E-2</v>
      </c>
      <c r="E59" s="205">
        <f t="shared" ref="E59" si="19">1/(nano*D59)</f>
        <v>42350979657.882996</v>
      </c>
      <c r="F59" s="205">
        <f t="shared" ref="F59" si="20">1/(hours_per_year*nano*D59)</f>
        <v>4834586.7189364154</v>
      </c>
      <c r="G59" s="206">
        <f t="shared" ref="G59" si="21">100*(1-EXP(-1/F59))</f>
        <v>2.0684289159245139E-5</v>
      </c>
      <c r="H59" s="206" t="s">
        <v>158</v>
      </c>
      <c r="I59" s="207">
        <f>100*(1-D59*nano*MTTR_15min)</f>
        <v>99.999999999409695</v>
      </c>
      <c r="J59" s="208">
        <f t="shared" ref="J59" si="22">1-I59/100</f>
        <v>5.9030558219319573E-12</v>
      </c>
      <c r="K59" s="209">
        <f t="shared" ref="K59" si="23">J59*hours_per_year</f>
        <v>5.1710769000123946E-8</v>
      </c>
      <c r="L59" s="210">
        <f t="shared" ref="L59" si="24">J59*min_per_year</f>
        <v>3.1026461400074368E-6</v>
      </c>
      <c r="M59" s="224">
        <f t="shared" ref="M59" si="25">J59*secs_per_year</f>
        <v>1.8615876840044621E-4</v>
      </c>
    </row>
    <row r="60" spans="3:14">
      <c r="C60" s="87" t="s">
        <v>159</v>
      </c>
      <c r="D60" s="225">
        <f>(1/E60)/nano</f>
        <v>0.66114147533736989</v>
      </c>
      <c r="E60" s="57">
        <f>I60*MTTR_1h/(1-I60)</f>
        <v>1512535572.6468618</v>
      </c>
      <c r="F60" s="57">
        <f>E60/hours_per_year</f>
        <v>172663.87815603445</v>
      </c>
      <c r="G60" s="192">
        <f>100*(1-EXP(-1/F60))</f>
        <v>5.7915825526499987E-4</v>
      </c>
      <c r="H60" s="56" t="s">
        <v>124</v>
      </c>
      <c r="I60" s="182">
        <f>(1-J60)</f>
        <v>0.99999999933885853</v>
      </c>
      <c r="J60" s="55">
        <f>M60/secs_per_year</f>
        <v>6.6114147490026198E-10</v>
      </c>
      <c r="K60" s="54">
        <f>J60*hours_per_year</f>
        <v>5.791599320126295E-6</v>
      </c>
      <c r="L60" s="71">
        <f>J60*min_per_year</f>
        <v>3.474959592075777E-4</v>
      </c>
      <c r="M60" s="80">
        <f>7*M58</f>
        <v>2.0849757552454662E-2</v>
      </c>
    </row>
    <row r="61" spans="3:14" ht="13.8" thickBot="1">
      <c r="C61" s="93"/>
      <c r="D61" s="227">
        <f>(1/E61)/nano</f>
        <v>4.1321390755231155E-2</v>
      </c>
      <c r="E61" s="195">
        <f>I61*MTTR_1h/(1-I61)</f>
        <v>24200540730.188351</v>
      </c>
      <c r="F61" s="195">
        <f>E61/hours_per_year</f>
        <v>2762618.8048160216</v>
      </c>
      <c r="G61" s="213">
        <f>100*(1-EXP(-1/F61))</f>
        <v>3.6197531749770917E-5</v>
      </c>
      <c r="H61" s="196" t="s">
        <v>158</v>
      </c>
      <c r="I61" s="214">
        <f>(1-J61)</f>
        <v>0.99999999995867861</v>
      </c>
      <c r="J61" s="198">
        <f>M61/secs_per_year</f>
        <v>4.1321390753523701E-11</v>
      </c>
      <c r="K61" s="199">
        <f>J61*hours_per_year</f>
        <v>3.6197538300086762E-7</v>
      </c>
      <c r="L61" s="200">
        <f>J61*min_per_year</f>
        <v>2.1718522980052057E-5</v>
      </c>
      <c r="M61" s="201">
        <f>M59*7</f>
        <v>1.3031113788031234E-3</v>
      </c>
    </row>
    <row r="62" spans="3:14">
      <c r="C62"/>
      <c r="D62"/>
      <c r="E62"/>
      <c r="F62"/>
      <c r="G62"/>
      <c r="H62"/>
      <c r="I62"/>
      <c r="J62"/>
      <c r="K62"/>
      <c r="L62"/>
      <c r="M62"/>
    </row>
    <row r="63" spans="3:14">
      <c r="C63"/>
      <c r="D63"/>
      <c r="E63"/>
      <c r="F63"/>
      <c r="G63"/>
      <c r="H63"/>
      <c r="I63"/>
      <c r="J63"/>
      <c r="K63"/>
      <c r="L63"/>
      <c r="M63"/>
    </row>
    <row r="64" spans="3:14">
      <c r="C64"/>
      <c r="D64"/>
      <c r="E64"/>
      <c r="F64"/>
      <c r="G64"/>
      <c r="H64"/>
      <c r="I64"/>
      <c r="J64"/>
      <c r="K64"/>
      <c r="L64"/>
      <c r="M64"/>
    </row>
    <row r="65" spans="2:14">
      <c r="C65" t="s">
        <v>753</v>
      </c>
      <c r="D65"/>
      <c r="E65"/>
      <c r="F65"/>
      <c r="G65"/>
      <c r="H65"/>
      <c r="I65"/>
      <c r="J65"/>
      <c r="K65"/>
      <c r="L65"/>
      <c r="M65"/>
    </row>
    <row r="66" spans="2:14">
      <c r="C66" t="s">
        <v>754</v>
      </c>
      <c r="D66"/>
      <c r="E66"/>
      <c r="F66"/>
      <c r="G66"/>
      <c r="H66"/>
      <c r="I66" s="182">
        <v>0.99999899999999997</v>
      </c>
      <c r="J66" s="55">
        <f>1-I66</f>
        <v>1.0000000000287557E-6</v>
      </c>
      <c r="K66" s="54">
        <f t="shared" ref="K66" si="26">J66*hours_per_year</f>
        <v>8.7600000002518996E-3</v>
      </c>
      <c r="L66" s="71">
        <f t="shared" ref="L66" si="27">J66*min_per_year</f>
        <v>0.52560000001511398</v>
      </c>
      <c r="M66" s="80">
        <f t="shared" ref="M66" si="28">J66*secs_per_year</f>
        <v>31.536000000906839</v>
      </c>
    </row>
    <row r="67" spans="2:14">
      <c r="C67"/>
      <c r="D67"/>
      <c r="E67"/>
      <c r="F67"/>
      <c r="G67"/>
      <c r="H67"/>
      <c r="I67"/>
      <c r="J67"/>
      <c r="K67"/>
      <c r="L67"/>
      <c r="M67"/>
    </row>
    <row r="68" spans="2:14">
      <c r="C68"/>
      <c r="D68"/>
      <c r="E68"/>
      <c r="F68"/>
      <c r="G68"/>
      <c r="H68"/>
      <c r="I68"/>
      <c r="J68"/>
      <c r="K68"/>
      <c r="L68"/>
      <c r="M68"/>
    </row>
    <row r="69" spans="2:14">
      <c r="B69" s="495" t="s">
        <v>755</v>
      </c>
      <c r="C69" s="393" t="s">
        <v>130</v>
      </c>
      <c r="D69" s="98">
        <f>3*Switch_hot</f>
        <v>4.4476740479999997</v>
      </c>
      <c r="E69" s="61">
        <f>1/(nano*D69)</f>
        <v>224836620.04181114</v>
      </c>
      <c r="F69" s="61">
        <f>1/(hours_per_year*nano*D69)</f>
        <v>25666.280826690767</v>
      </c>
      <c r="G69" s="60">
        <f>100*(1-EXP(-1/F69))</f>
        <v>3.8960865666237687E-3</v>
      </c>
      <c r="H69" s="60" t="s">
        <v>131</v>
      </c>
      <c r="I69" s="111">
        <f>100*(1-D69*nano*MTTR_8h)</f>
        <v>99.999996441860759</v>
      </c>
      <c r="J69" s="59">
        <f>1-I69/100</f>
        <v>3.5581392388017719E-8</v>
      </c>
      <c r="K69" s="58">
        <f>J69*hours_per_year</f>
        <v>3.1169299731903521E-4</v>
      </c>
      <c r="L69" s="72">
        <f>J69*min_per_year</f>
        <v>1.8701579839142113E-2</v>
      </c>
      <c r="M69" s="78">
        <f>J69*secs_per_year</f>
        <v>1.1220947903485268</v>
      </c>
    </row>
    <row r="70" spans="2:14">
      <c r="B70" s="495"/>
      <c r="C70" s="394" t="s">
        <v>132</v>
      </c>
      <c r="D70" s="99">
        <f>Switch_hot</f>
        <v>1.482558016</v>
      </c>
      <c r="E70" s="81">
        <f>1/(nano*D70)</f>
        <v>674509860.12543333</v>
      </c>
      <c r="F70" s="81">
        <f>1/(hours_per_year*nano*D70)</f>
        <v>76998.842480072301</v>
      </c>
      <c r="G70" s="82">
        <f>100*(1-EXP(-1/F70))</f>
        <v>1.2987123886754048E-3</v>
      </c>
      <c r="H70" s="82" t="s">
        <v>131</v>
      </c>
      <c r="I70" s="112">
        <f>100*(1-D70*nano*MTTR_8h)</f>
        <v>99.999998813953582</v>
      </c>
      <c r="J70" s="83">
        <f>1-I70/100</f>
        <v>1.1860464166346674E-8</v>
      </c>
      <c r="K70" s="94">
        <f>J70*hours_per_year</f>
        <v>1.0389766609719686E-4</v>
      </c>
      <c r="L70" s="85">
        <f>J70*min_per_year</f>
        <v>6.2338599658318117E-3</v>
      </c>
      <c r="M70" s="86">
        <f>J70*secs_per_year</f>
        <v>0.3740315979499087</v>
      </c>
    </row>
    <row r="71" spans="2:14">
      <c r="B71" s="495"/>
      <c r="C71" s="393" t="s">
        <v>756</v>
      </c>
      <c r="D71" s="98">
        <f>D69+D70</f>
        <v>5.9302320640000001</v>
      </c>
      <c r="E71" s="61">
        <f>1/(nano*D71)</f>
        <v>168627465.03135833</v>
      </c>
      <c r="F71" s="61">
        <f>1/(hours_per_year*nano*D71)</f>
        <v>19249.710620018075</v>
      </c>
      <c r="G71" s="60">
        <f>100*(1-EXP(-1/F71))</f>
        <v>5.194748356340817E-3</v>
      </c>
      <c r="H71" s="60" t="s">
        <v>131</v>
      </c>
      <c r="I71" s="111">
        <f>100*(1-D71*nano*MTTR_8h)</f>
        <v>99.999995255814341</v>
      </c>
      <c r="J71" s="59">
        <f>1-I71/100</f>
        <v>4.7441856554364392E-8</v>
      </c>
      <c r="K71" s="58">
        <f>J71*hours_per_year</f>
        <v>4.1559066341623208E-4</v>
      </c>
      <c r="L71" s="72">
        <f>J71*min_per_year</f>
        <v>2.4935439804973925E-2</v>
      </c>
      <c r="M71" s="78">
        <f>J71*secs_per_year</f>
        <v>1.4961263882984355</v>
      </c>
    </row>
    <row r="72" spans="2:14">
      <c r="C72"/>
      <c r="D72"/>
      <c r="E72"/>
      <c r="F72"/>
      <c r="G72"/>
      <c r="H72"/>
      <c r="I72"/>
      <c r="J72"/>
      <c r="K72"/>
      <c r="L72"/>
      <c r="M72"/>
    </row>
    <row r="73" spans="2:14">
      <c r="B73" s="495" t="s">
        <v>757</v>
      </c>
      <c r="C73" s="393" t="s">
        <v>130</v>
      </c>
      <c r="D73" s="98">
        <f>3*Switch_hot</f>
        <v>4.4476740479999997</v>
      </c>
      <c r="E73" s="61">
        <f>1/(nano*D73)</f>
        <v>224836620.04181114</v>
      </c>
      <c r="F73" s="61">
        <f>1/(hours_per_year*nano*D73)</f>
        <v>25666.280826690767</v>
      </c>
      <c r="G73" s="60">
        <f>100*(1-EXP(-1/F73))</f>
        <v>3.8960865666237687E-3</v>
      </c>
      <c r="H73" s="60" t="s">
        <v>131</v>
      </c>
      <c r="I73" s="111">
        <f>100*(1-D73*nano*MTTR_8h)</f>
        <v>99.999996441860759</v>
      </c>
      <c r="J73" s="59">
        <f>1-I73/100</f>
        <v>3.5581392388017719E-8</v>
      </c>
      <c r="K73" s="58">
        <f>J73*hours_per_year</f>
        <v>3.1169299731903521E-4</v>
      </c>
      <c r="L73" s="72">
        <f>J73*min_per_year</f>
        <v>1.8701579839142113E-2</v>
      </c>
      <c r="M73" s="78">
        <f>J73*secs_per_year</f>
        <v>1.1220947903485268</v>
      </c>
    </row>
    <row r="74" spans="2:14">
      <c r="B74" s="495"/>
      <c r="C74" s="394" t="s">
        <v>132</v>
      </c>
      <c r="D74" s="99">
        <f>Switch_hot</f>
        <v>1.482558016</v>
      </c>
      <c r="E74" s="81">
        <f>1/(nano*D74)</f>
        <v>674509860.12543333</v>
      </c>
      <c r="F74" s="81">
        <f>1/(hours_per_year*nano*D74)</f>
        <v>76998.842480072301</v>
      </c>
      <c r="G74" s="82">
        <f>100*(1-EXP(-1/F74))</f>
        <v>1.2987123886754048E-3</v>
      </c>
      <c r="H74" s="82" t="s">
        <v>131</v>
      </c>
      <c r="I74" s="112">
        <f>100*(1-D74*nano*MTTR_8h)</f>
        <v>99.999998813953582</v>
      </c>
      <c r="J74" s="83">
        <f>1-I74/100</f>
        <v>1.1860464166346674E-8</v>
      </c>
      <c r="K74" s="94">
        <f>J74*hours_per_year</f>
        <v>1.0389766609719686E-4</v>
      </c>
      <c r="L74" s="85">
        <f>J74*min_per_year</f>
        <v>6.2338599658318117E-3</v>
      </c>
      <c r="M74" s="86">
        <f>J74*secs_per_year</f>
        <v>0.3740315979499087</v>
      </c>
    </row>
    <row r="75" spans="2:14">
      <c r="B75" s="495"/>
      <c r="C75" s="393" t="s">
        <v>756</v>
      </c>
      <c r="D75" s="98">
        <f>D73+D74</f>
        <v>5.9302320640000001</v>
      </c>
      <c r="E75" s="61">
        <f>1/(nano*D75)</f>
        <v>168627465.03135833</v>
      </c>
      <c r="F75" s="61">
        <f>1/(hours_per_year*nano*D75)</f>
        <v>19249.710620018075</v>
      </c>
      <c r="G75" s="60">
        <f>100*(1-EXP(-1/F75))</f>
        <v>5.194748356340817E-3</v>
      </c>
      <c r="H75" s="60" t="s">
        <v>131</v>
      </c>
      <c r="I75" s="111">
        <f>100*(1-D75*nano*MTTR_8h)</f>
        <v>99.999995255814341</v>
      </c>
      <c r="J75" s="59">
        <f>1-I75/100</f>
        <v>4.7441856554364392E-8</v>
      </c>
      <c r="K75" s="58">
        <f>J75*hours_per_year</f>
        <v>4.1559066341623208E-4</v>
      </c>
      <c r="L75" s="72">
        <f>J75*min_per_year</f>
        <v>2.4935439804973925E-2</v>
      </c>
      <c r="M75" s="78">
        <f>J75*secs_per_year</f>
        <v>1.4961263882984355</v>
      </c>
    </row>
    <row r="76" spans="2:14">
      <c r="C76"/>
      <c r="D76"/>
      <c r="E76"/>
      <c r="F76" s="49"/>
      <c r="G76"/>
      <c r="H76" s="49"/>
      <c r="I76"/>
      <c r="J76"/>
      <c r="K76"/>
      <c r="L76"/>
      <c r="M76"/>
    </row>
    <row r="77" spans="2:14">
      <c r="C77" s="395" t="s">
        <v>758</v>
      </c>
      <c r="D77" s="396">
        <f>D71+D75</f>
        <v>11.860464128</v>
      </c>
      <c r="E77" s="61">
        <f>1/(nano*D77)</f>
        <v>84313732.515679166</v>
      </c>
      <c r="F77" s="61">
        <f>1/(hours_per_year*nano*D77)</f>
        <v>9624.8553100090376</v>
      </c>
      <c r="G77" s="60">
        <f>100*(1-EXP(-1/F77))</f>
        <v>1.0389226858575906E-2</v>
      </c>
      <c r="H77" s="60" t="s">
        <v>131</v>
      </c>
      <c r="I77" s="111">
        <f>100*(1-D77*nano*MTTR_8h)</f>
        <v>99.999990511628695</v>
      </c>
      <c r="J77" s="59">
        <f>1-I77/100</f>
        <v>9.4883712997706482E-8</v>
      </c>
      <c r="K77" s="58">
        <f>J77*hours_per_year</f>
        <v>8.3118132585990878E-4</v>
      </c>
      <c r="L77" s="72">
        <f>J77*min_per_year</f>
        <v>4.9870879551594527E-2</v>
      </c>
      <c r="M77" s="397">
        <f>J77*secs_per_year</f>
        <v>2.9922527730956716</v>
      </c>
    </row>
    <row r="78" spans="2:14">
      <c r="C78"/>
      <c r="D78" s="396">
        <f>D77*1.01</f>
        <v>11.97906876928</v>
      </c>
      <c r="E78" s="61">
        <f>1/(nano*D78)</f>
        <v>83478943.08483085</v>
      </c>
      <c r="F78" s="61">
        <f>1/(hours_per_year*nano*D78)</f>
        <v>9529.5597128802347</v>
      </c>
      <c r="G78" s="60">
        <f>100*(1-EXP(-1/F78))</f>
        <v>1.0493113676202093E-2</v>
      </c>
      <c r="H78" s="60" t="s">
        <v>131</v>
      </c>
      <c r="I78" s="111">
        <f>100*(1-D78*nano*MTTR_8h)</f>
        <v>99.999990416744993</v>
      </c>
      <c r="J78" s="59">
        <f>1-I78/100</f>
        <v>9.583255011769154E-8</v>
      </c>
      <c r="K78" s="58">
        <f>J78*hours_per_year</f>
        <v>8.3949313903097789E-4</v>
      </c>
      <c r="L78" s="72">
        <f>J78*min_per_year</f>
        <v>5.0369588341858673E-2</v>
      </c>
      <c r="M78" s="397">
        <f>J78*secs_per_year</f>
        <v>3.0221753005115204</v>
      </c>
      <c r="N78" s="13" t="s">
        <v>759</v>
      </c>
    </row>
    <row r="79" spans="2:14">
      <c r="C79"/>
      <c r="D79" s="396">
        <f>D77*1.1</f>
        <v>13.046510540800002</v>
      </c>
      <c r="E79" s="61">
        <f>1/(nano*D79)</f>
        <v>76648847.741526499</v>
      </c>
      <c r="F79" s="61">
        <f>1/(hours_per_year*nano*D79)</f>
        <v>8749.8684636445778</v>
      </c>
      <c r="G79" s="60">
        <f>100*(1-EXP(-1/F79))</f>
        <v>1.1428090177756367E-2</v>
      </c>
      <c r="H79" s="60" t="s">
        <v>131</v>
      </c>
      <c r="I79" s="111">
        <f>100*(1-D79*nano*MTTR_8h)</f>
        <v>99.999989562791569</v>
      </c>
      <c r="J79" s="59">
        <f>1-I79/100</f>
        <v>1.0437208430857936E-7</v>
      </c>
      <c r="K79" s="58">
        <f>J79*hours_per_year</f>
        <v>9.142994585431552E-4</v>
      </c>
      <c r="L79" s="72">
        <f>J79*min_per_year</f>
        <v>5.4857967512589312E-2</v>
      </c>
      <c r="M79" s="397">
        <f>J79*secs_per_year</f>
        <v>3.2914780507553587</v>
      </c>
      <c r="N79" s="13" t="s">
        <v>760</v>
      </c>
    </row>
    <row r="80" spans="2:14">
      <c r="C80"/>
      <c r="D80"/>
      <c r="E80"/>
      <c r="F80" s="49"/>
      <c r="G80"/>
      <c r="H80"/>
      <c r="I80"/>
      <c r="J80"/>
      <c r="K80"/>
      <c r="L80"/>
      <c r="M80"/>
    </row>
    <row r="81" spans="2:13">
      <c r="C81"/>
      <c r="D81"/>
      <c r="E81"/>
      <c r="F81"/>
      <c r="G81"/>
      <c r="H81"/>
      <c r="I81"/>
      <c r="J81"/>
      <c r="K81"/>
      <c r="L81"/>
      <c r="M81"/>
    </row>
    <row r="83" spans="2:13" s="404" customFormat="1" ht="14.4">
      <c r="B83" s="405">
        <v>46099</v>
      </c>
    </row>
    <row r="84" spans="2:13" ht="14.4">
      <c r="C84" s="406" t="s">
        <v>761</v>
      </c>
    </row>
    <row r="86" spans="2:13">
      <c r="C86" s="13" t="s">
        <v>762</v>
      </c>
      <c r="D86" t="s">
        <v>763</v>
      </c>
    </row>
    <row r="87" spans="2:13">
      <c r="C87" s="13" t="s">
        <v>764</v>
      </c>
      <c r="D87" s="398">
        <f>1-0.99999</f>
        <v>9.9999999999544897E-6</v>
      </c>
    </row>
    <row r="89" spans="2:13">
      <c r="C89" s="13" t="s">
        <v>765</v>
      </c>
    </row>
    <row r="90" spans="2:13">
      <c r="C90" s="49" t="s">
        <v>766</v>
      </c>
      <c r="D90" s="49"/>
    </row>
    <row r="91" spans="2:13">
      <c r="C91" s="49" t="s">
        <v>767</v>
      </c>
      <c r="D91" s="398">
        <f>1-0.999999</f>
        <v>1.0000000000287557E-6</v>
      </c>
    </row>
    <row r="93" spans="2:13">
      <c r="C93" s="13" t="s">
        <v>768</v>
      </c>
    </row>
    <row r="94" spans="2:13">
      <c r="C94" s="49" t="s">
        <v>769</v>
      </c>
    </row>
    <row r="95" spans="2:13">
      <c r="C95" s="399" t="s">
        <v>770</v>
      </c>
    </row>
    <row r="97" spans="3:7">
      <c r="C97" s="13" t="s">
        <v>771</v>
      </c>
    </row>
    <row r="98" spans="3:7">
      <c r="C98" s="49" t="s">
        <v>774</v>
      </c>
      <c r="D98" s="398">
        <f>1-0.99999</f>
        <v>9.9999999999544897E-6</v>
      </c>
    </row>
    <row r="99" spans="3:7">
      <c r="C99" s="49" t="s">
        <v>772</v>
      </c>
    </row>
    <row r="100" spans="3:7">
      <c r="C100" s="49" t="s">
        <v>775</v>
      </c>
      <c r="D100" s="398">
        <f>0.1*D98</f>
        <v>9.9999999999544906E-7</v>
      </c>
    </row>
    <row r="102" spans="3:7">
      <c r="C102" s="13" t="s">
        <v>773</v>
      </c>
    </row>
    <row r="103" spans="3:7">
      <c r="C103" s="49" t="s">
        <v>776</v>
      </c>
    </row>
    <row r="104" spans="3:7">
      <c r="C104" s="403" t="s">
        <v>793</v>
      </c>
      <c r="D104" s="13">
        <v>0.02</v>
      </c>
    </row>
    <row r="105" spans="3:7">
      <c r="C105" s="49" t="s">
        <v>777</v>
      </c>
      <c r="D105" s="398">
        <f>1*D100/D104</f>
        <v>4.9999999999772449E-5</v>
      </c>
    </row>
    <row r="106" spans="3:7">
      <c r="C106" s="49" t="s">
        <v>778</v>
      </c>
      <c r="D106" s="402">
        <f>1-D105</f>
        <v>0.99995000000000023</v>
      </c>
      <c r="E106" s="398">
        <f>1-D106</f>
        <v>4.9999999999772449E-5</v>
      </c>
      <c r="F106" s="13">
        <f>E106*min_per_year</f>
        <v>26.279999999880399</v>
      </c>
    </row>
    <row r="108" spans="3:7">
      <c r="C108" s="400"/>
      <c r="D108" s="400" t="s">
        <v>65</v>
      </c>
      <c r="E108" s="400" t="s">
        <v>77</v>
      </c>
      <c r="F108" s="400" t="s">
        <v>782</v>
      </c>
      <c r="G108" s="400" t="s">
        <v>208</v>
      </c>
    </row>
    <row r="109" spans="3:7">
      <c r="C109" s="400" t="s">
        <v>779</v>
      </c>
      <c r="D109" s="400">
        <v>99.998999999999995</v>
      </c>
      <c r="E109" s="400">
        <f>1-(D109/100)</f>
        <v>1.0000000000065512E-5</v>
      </c>
      <c r="F109" s="401">
        <f>E109*min_per_year</f>
        <v>5.2560000000344331</v>
      </c>
      <c r="G109" s="400" t="s">
        <v>783</v>
      </c>
    </row>
    <row r="110" spans="3:7">
      <c r="C110" s="400" t="s">
        <v>780</v>
      </c>
      <c r="D110" s="400">
        <v>99.995000000000005</v>
      </c>
      <c r="E110" s="400">
        <f>1-(D110/100)</f>
        <v>4.9999999999994493E-5</v>
      </c>
      <c r="F110" s="401">
        <f>E110*min_per_year</f>
        <v>26.279999999997106</v>
      </c>
      <c r="G110" s="400" t="s">
        <v>784</v>
      </c>
    </row>
    <row r="111" spans="3:7">
      <c r="C111" s="400" t="s">
        <v>781</v>
      </c>
      <c r="D111" s="400">
        <v>99.999899999999997</v>
      </c>
      <c r="E111" s="400">
        <f>1-(D111/100)</f>
        <v>1.0000000000287557E-6</v>
      </c>
      <c r="F111" s="401">
        <f>E111*min_per_year</f>
        <v>0.52560000001511398</v>
      </c>
      <c r="G111" s="400" t="s">
        <v>785</v>
      </c>
    </row>
    <row r="113" spans="1:6">
      <c r="C113" s="399" t="s">
        <v>786</v>
      </c>
    </row>
    <row r="114" spans="1:6">
      <c r="C114" s="49" t="s">
        <v>787</v>
      </c>
    </row>
    <row r="115" spans="1:6">
      <c r="C115" s="49" t="s">
        <v>788</v>
      </c>
    </row>
    <row r="116" spans="1:6">
      <c r="C116" s="49" t="s">
        <v>789</v>
      </c>
      <c r="D116" s="13">
        <f>0.1*5.26</f>
        <v>0.52600000000000002</v>
      </c>
    </row>
    <row r="117" spans="1:6">
      <c r="C117" s="399" t="s">
        <v>791</v>
      </c>
    </row>
    <row r="118" spans="1:6">
      <c r="C118" s="399" t="s">
        <v>790</v>
      </c>
    </row>
    <row r="121" spans="1:6" ht="14.4">
      <c r="C121" s="406" t="s">
        <v>794</v>
      </c>
    </row>
    <row r="122" spans="1:6">
      <c r="C122" s="13" t="s">
        <v>795</v>
      </c>
      <c r="D122" s="403" t="s">
        <v>96</v>
      </c>
      <c r="E122" s="403" t="s">
        <v>797</v>
      </c>
      <c r="F122" s="403" t="s">
        <v>798</v>
      </c>
    </row>
    <row r="123" spans="1:6">
      <c r="C123" s="403" t="s">
        <v>796</v>
      </c>
      <c r="D123" s="408">
        <v>10000</v>
      </c>
      <c r="E123" s="408">
        <f>1/(D123*nano)</f>
        <v>99999.999999999985</v>
      </c>
      <c r="F123" s="407">
        <f>1/(D123*0.000000001*hours_per_year)</f>
        <v>11.415525114155249</v>
      </c>
    </row>
    <row r="124" spans="1:6">
      <c r="C124" s="403" t="s">
        <v>799</v>
      </c>
      <c r="D124" s="13">
        <f>2*(D123*nano)^2*MTTR_8h/nano</f>
        <v>1.6</v>
      </c>
    </row>
    <row r="126" spans="1:6">
      <c r="C126" s="403" t="s">
        <v>806</v>
      </c>
    </row>
    <row r="127" spans="1:6">
      <c r="A127" s="403" t="s">
        <v>96</v>
      </c>
      <c r="B127" s="13">
        <v>10000</v>
      </c>
    </row>
    <row r="128" spans="1:6">
      <c r="A128" s="403" t="s">
        <v>748</v>
      </c>
      <c r="B128" s="412">
        <f>B127*nano</f>
        <v>1.0000000000000001E-5</v>
      </c>
    </row>
    <row r="129" spans="1:15">
      <c r="A129" s="403" t="s">
        <v>800</v>
      </c>
      <c r="B129" s="13">
        <f>B128*B128</f>
        <v>1.0000000000000002E-10</v>
      </c>
      <c r="C129" s="13" t="s">
        <v>801</v>
      </c>
    </row>
    <row r="130" spans="1:15">
      <c r="B130" s="410">
        <f>B129*2</f>
        <v>2.0000000000000003E-10</v>
      </c>
      <c r="C130" s="13" t="s">
        <v>802</v>
      </c>
      <c r="I130" s="414" t="s">
        <v>811</v>
      </c>
      <c r="J130" s="414" t="s">
        <v>809</v>
      </c>
      <c r="K130" s="414" t="s">
        <v>813</v>
      </c>
      <c r="L130" s="414" t="s">
        <v>810</v>
      </c>
      <c r="M130" s="414" t="s">
        <v>65</v>
      </c>
      <c r="N130" s="414" t="s">
        <v>77</v>
      </c>
      <c r="O130" s="414" t="s">
        <v>782</v>
      </c>
    </row>
    <row r="131" spans="1:15">
      <c r="B131" s="13">
        <f>B130*D131</f>
        <v>8.0000000000000013E-10</v>
      </c>
      <c r="C131" s="13" t="s">
        <v>803</v>
      </c>
      <c r="D131" s="398">
        <v>4</v>
      </c>
      <c r="E131" s="13" t="s">
        <v>804</v>
      </c>
      <c r="I131" s="400">
        <v>1</v>
      </c>
      <c r="J131" s="401">
        <f t="shared" ref="J131:J136" si="29">$B$130*I131/nano</f>
        <v>0.2</v>
      </c>
      <c r="K131" s="416">
        <f t="shared" ref="K131:K136" si="30">1/(J131*nano)</f>
        <v>4999999999.999999</v>
      </c>
      <c r="L131" s="415">
        <f t="shared" ref="L131:L136" si="31">1/(J131*nano)/hours_per_year</f>
        <v>570776.25570776244</v>
      </c>
      <c r="M131" s="417">
        <f>K131/(K131+I131)</f>
        <v>0.99999999979999998</v>
      </c>
      <c r="N131" s="416">
        <f>1-M131</f>
        <v>2.000000165480742E-10</v>
      </c>
      <c r="O131" s="418">
        <f t="shared" ref="O131:O136" si="32">N131*min_per_year</f>
        <v>1.051200086976678E-4</v>
      </c>
    </row>
    <row r="132" spans="1:15">
      <c r="A132" s="403" t="s">
        <v>809</v>
      </c>
      <c r="B132" s="13">
        <f>B131/nano</f>
        <v>0.8</v>
      </c>
      <c r="C132" s="13" t="s">
        <v>805</v>
      </c>
      <c r="I132" s="400">
        <v>4</v>
      </c>
      <c r="J132" s="401">
        <f t="shared" si="29"/>
        <v>0.8</v>
      </c>
      <c r="K132" s="416">
        <f t="shared" si="30"/>
        <v>1249999999.9999998</v>
      </c>
      <c r="L132" s="415">
        <f t="shared" si="31"/>
        <v>142694.06392694061</v>
      </c>
      <c r="M132" s="417">
        <f t="shared" ref="M132:M136" si="33">K132/(K132+I132)</f>
        <v>0.99999999679999996</v>
      </c>
      <c r="N132" s="416">
        <f t="shared" ref="N132:N136" si="34">1-M132</f>
        <v>3.2000000427245823E-9</v>
      </c>
      <c r="O132" s="418">
        <f t="shared" si="32"/>
        <v>1.6819200224560404E-3</v>
      </c>
    </row>
    <row r="133" spans="1:15">
      <c r="B133" s="411"/>
      <c r="I133" s="400">
        <v>8</v>
      </c>
      <c r="J133" s="401">
        <f t="shared" si="29"/>
        <v>1.6</v>
      </c>
      <c r="K133" s="416">
        <f t="shared" si="30"/>
        <v>624999999.99999988</v>
      </c>
      <c r="L133" s="415">
        <f t="shared" si="31"/>
        <v>71347.031963470305</v>
      </c>
      <c r="M133" s="417">
        <f t="shared" si="33"/>
        <v>0.99999998720000016</v>
      </c>
      <c r="N133" s="416">
        <f t="shared" si="34"/>
        <v>1.2799999837831422E-8</v>
      </c>
      <c r="O133" s="418">
        <f t="shared" si="32"/>
        <v>6.7276799147641952E-3</v>
      </c>
    </row>
    <row r="134" spans="1:15">
      <c r="I134" s="400">
        <v>12</v>
      </c>
      <c r="J134" s="401">
        <f t="shared" si="29"/>
        <v>2.4000000000000004</v>
      </c>
      <c r="K134" s="416">
        <f t="shared" si="30"/>
        <v>416666666.66666663</v>
      </c>
      <c r="L134" s="415">
        <f t="shared" si="31"/>
        <v>47564.687975646877</v>
      </c>
      <c r="M134" s="417">
        <f t="shared" si="33"/>
        <v>0.99999997120000084</v>
      </c>
      <c r="N134" s="416">
        <f t="shared" si="34"/>
        <v>2.8799999163275913E-8</v>
      </c>
      <c r="O134" s="418">
        <f t="shared" si="32"/>
        <v>1.513727956021782E-2</v>
      </c>
    </row>
    <row r="135" spans="1:15">
      <c r="I135" s="400">
        <v>24</v>
      </c>
      <c r="J135" s="401">
        <f t="shared" si="29"/>
        <v>4.8000000000000007</v>
      </c>
      <c r="K135" s="416">
        <f t="shared" si="30"/>
        <v>208333333.33333331</v>
      </c>
      <c r="L135" s="415">
        <f t="shared" si="31"/>
        <v>23782.343987823439</v>
      </c>
      <c r="M135" s="417">
        <f t="shared" si="33"/>
        <v>0.99999988480001323</v>
      </c>
      <c r="N135" s="416">
        <f t="shared" si="34"/>
        <v>1.1519998677211873E-7</v>
      </c>
      <c r="O135" s="418">
        <f t="shared" si="32"/>
        <v>6.0549113047425607E-2</v>
      </c>
    </row>
    <row r="136" spans="1:15">
      <c r="C136" s="53" t="s">
        <v>807</v>
      </c>
      <c r="I136" s="400">
        <v>72</v>
      </c>
      <c r="J136" s="401">
        <f t="shared" si="29"/>
        <v>14.400000000000002</v>
      </c>
      <c r="K136" s="416">
        <f t="shared" si="30"/>
        <v>69444444.444444433</v>
      </c>
      <c r="L136" s="415">
        <f t="shared" si="31"/>
        <v>7927.4479959411456</v>
      </c>
      <c r="M136" s="417">
        <f t="shared" si="33"/>
        <v>0.99999896320107495</v>
      </c>
      <c r="N136" s="416">
        <f t="shared" si="34"/>
        <v>1.0367989250470444E-6</v>
      </c>
      <c r="O136" s="418">
        <f t="shared" si="32"/>
        <v>0.54494151500472654</v>
      </c>
    </row>
    <row r="137" spans="1:15">
      <c r="C137" s="413" t="s">
        <v>808</v>
      </c>
    </row>
    <row r="138" spans="1:15">
      <c r="C138" s="13" t="s">
        <v>812</v>
      </c>
    </row>
    <row r="141" spans="1:15" ht="14.4">
      <c r="C141" s="406" t="s">
        <v>814</v>
      </c>
    </row>
    <row r="142" spans="1:15">
      <c r="C142" s="53" t="s">
        <v>792</v>
      </c>
      <c r="D142" s="13">
        <f>B127*0.02</f>
        <v>200</v>
      </c>
    </row>
    <row r="144" spans="1:15">
      <c r="C144" s="53" t="s">
        <v>815</v>
      </c>
    </row>
    <row r="145" spans="1:3">
      <c r="C145" s="53" t="s">
        <v>816</v>
      </c>
    </row>
    <row r="148" spans="1:3" ht="13.5" customHeight="1">
      <c r="C148" s="53"/>
    </row>
    <row r="149" spans="1:3" s="404" customFormat="1" ht="14.4">
      <c r="A149" s="404">
        <v>46222</v>
      </c>
      <c r="B149" s="405" t="s">
        <v>820</v>
      </c>
    </row>
    <row r="150" spans="1:3" ht="13.5" customHeight="1">
      <c r="C150" s="53"/>
    </row>
    <row r="151" spans="1:3">
      <c r="C151" s="53"/>
    </row>
    <row r="152" spans="1:3">
      <c r="C152" s="53"/>
    </row>
    <row r="154" spans="1:3">
      <c r="C154" s="53"/>
    </row>
    <row r="155" spans="1:3">
      <c r="C155" s="53"/>
    </row>
    <row r="162" spans="3:9" ht="14.4">
      <c r="F162" s="419" t="s">
        <v>748</v>
      </c>
      <c r="G162" s="403" t="s">
        <v>96</v>
      </c>
      <c r="H162" s="403" t="s">
        <v>797</v>
      </c>
      <c r="I162" s="403" t="s">
        <v>798</v>
      </c>
    </row>
    <row r="163" spans="3:9">
      <c r="C163"/>
      <c r="E163" s="13" t="s">
        <v>818</v>
      </c>
      <c r="F163" s="410">
        <f>G163*nano</f>
        <v>9.6260000000000007E-6</v>
      </c>
      <c r="G163" s="13">
        <v>9626</v>
      </c>
      <c r="H163" s="408">
        <f>1/(G163*nano)</f>
        <v>103885.31061707874</v>
      </c>
      <c r="I163" s="407">
        <f>1/(G163*0.000000001*hours_per_year)</f>
        <v>11.859053723410813</v>
      </c>
    </row>
    <row r="164" spans="3:9">
      <c r="E164" s="13" t="s">
        <v>819</v>
      </c>
      <c r="F164" s="410">
        <f>G164*nano</f>
        <v>7.0000000000000007E-6</v>
      </c>
      <c r="G164" s="13">
        <v>7000</v>
      </c>
      <c r="H164" s="408">
        <f>1/(G164*nano)</f>
        <v>142857.14285714284</v>
      </c>
      <c r="I164" s="407">
        <f>1/(G164*0.000000001*hours_per_year)</f>
        <v>16.307893020221787</v>
      </c>
    </row>
    <row r="166" spans="3:9" ht="16.8">
      <c r="C166" s="409"/>
    </row>
    <row r="167" spans="3:9">
      <c r="F167" s="13" t="s">
        <v>822</v>
      </c>
      <c r="G167" s="13" t="s">
        <v>823</v>
      </c>
    </row>
    <row r="168" spans="3:9">
      <c r="E168" s="420" t="s">
        <v>821</v>
      </c>
      <c r="F168" s="48">
        <f>F164*2</f>
        <v>1.4000000000000001E-5</v>
      </c>
      <c r="G168" s="48">
        <f>F164*4</f>
        <v>2.8000000000000003E-5</v>
      </c>
    </row>
    <row r="169" spans="3:9">
      <c r="E169" s="420" t="s">
        <v>824</v>
      </c>
      <c r="F169" s="48">
        <f>F163*2</f>
        <v>1.9252000000000001E-5</v>
      </c>
      <c r="G169" s="48">
        <f>F163*4</f>
        <v>3.8504000000000003E-5</v>
      </c>
    </row>
    <row r="170" spans="3:9">
      <c r="E170" s="420" t="s">
        <v>825</v>
      </c>
      <c r="F170" s="48">
        <f>F168*F169</f>
        <v>2.6952800000000003E-10</v>
      </c>
      <c r="G170" s="410">
        <f>G168*G169</f>
        <v>1.0781120000000001E-9</v>
      </c>
    </row>
    <row r="171" spans="3:9">
      <c r="E171" s="420" t="s">
        <v>826</v>
      </c>
      <c r="F171" s="410">
        <f>F170*6</f>
        <v>1.6171680000000003E-9</v>
      </c>
      <c r="G171" s="410">
        <f>G170*6</f>
        <v>6.4686720000000012E-9</v>
      </c>
    </row>
    <row r="172" spans="3:9">
      <c r="E172" s="420" t="s">
        <v>828</v>
      </c>
      <c r="F172" s="421">
        <f>F171*secs_per_year</f>
        <v>5.0999010048000011E-2</v>
      </c>
      <c r="G172" s="421">
        <f>G171*secs_per_year</f>
        <v>0.20399604019200004</v>
      </c>
    </row>
    <row r="173" spans="3:9">
      <c r="F173" s="48">
        <f>6*F170*hours_per_year</f>
        <v>1.4166391680000002E-5</v>
      </c>
      <c r="G173" s="48">
        <f>6*G170*hours_per_year</f>
        <v>5.666556672000001E-5</v>
      </c>
    </row>
    <row r="174" spans="3:9">
      <c r="E174" s="420" t="s">
        <v>827</v>
      </c>
      <c r="F174" s="408">
        <f>1/(F173)</f>
        <v>70589.605496492935</v>
      </c>
      <c r="G174" s="408">
        <f>1/(G173)</f>
        <v>17647.401374123234</v>
      </c>
    </row>
  </sheetData>
  <mergeCells count="9">
    <mergeCell ref="B69:B71"/>
    <mergeCell ref="B73:B75"/>
    <mergeCell ref="D4:G4"/>
    <mergeCell ref="H4:H6"/>
    <mergeCell ref="J4:M5"/>
    <mergeCell ref="C5:C6"/>
    <mergeCell ref="G5:G6"/>
    <mergeCell ref="I5:I6"/>
    <mergeCell ref="D6:F6"/>
  </mergeCells>
  <conditionalFormatting sqref="L19">
    <cfRule type="cellIs" dxfId="66" priority="44" operator="greaterThan">
      <formula>5.3</formula>
    </cfRule>
  </conditionalFormatting>
  <conditionalFormatting sqref="L20:L23">
    <cfRule type="cellIs" dxfId="65" priority="11" operator="greaterThan">
      <formula>26.3</formula>
    </cfRule>
  </conditionalFormatting>
  <conditionalFormatting sqref="L24:L30">
    <cfRule type="cellIs" dxfId="64" priority="22" operator="greaterThan">
      <formula>5.3</formula>
    </cfRule>
  </conditionalFormatting>
  <conditionalFormatting sqref="L44">
    <cfRule type="cellIs" dxfId="63" priority="34" operator="greaterThan">
      <formula>5.3</formula>
    </cfRule>
  </conditionalFormatting>
  <conditionalFormatting sqref="L45:L48">
    <cfRule type="cellIs" dxfId="62" priority="12" operator="greaterThan">
      <formula>26.3</formula>
    </cfRule>
  </conditionalFormatting>
  <conditionalFormatting sqref="L49:L54">
    <cfRule type="cellIs" dxfId="61" priority="1" operator="greaterThan">
      <formula>5.3</formula>
    </cfRule>
  </conditionalFormatting>
  <conditionalFormatting sqref="L55">
    <cfRule type="cellIs" dxfId="60" priority="47" operator="greaterThan">
      <formula>5.3</formula>
    </cfRule>
  </conditionalFormatting>
  <conditionalFormatting sqref="L60:L61">
    <cfRule type="cellIs" dxfId="59" priority="9" operator="greaterThan">
      <formula>26.3</formula>
    </cfRule>
  </conditionalFormatting>
  <printOptions horizontalCentered="1" verticalCentered="1"/>
  <pageMargins left="0.19685039370078741" right="0.19685039370078741" top="0.39370078740157483" bottom="0.39370078740157483" header="0.19685039370078741" footer="0.19685039370078741"/>
  <pageSetup paperSize="9" scale="56" orientation="landscape" r:id="rId1"/>
  <headerFooter alignWithMargins="0">
    <oddHeader>&amp;C&amp;G&amp;L&amp;"Arial Black"&amp;10&amp;K76923C&amp;1#</oddHeader>
    <oddFooter>&amp;L3BU 60003 0250 DUAPA, Ed.01&amp;C&amp;9©Ground Transportation Systems Austria GmbH&amp;R&amp;8 6/7
Template: 83530213-DOC-AUT-EN / 001</oddFooter>
  </headerFooter>
  <drawing r:id="rId2"/>
  <legacyDrawingHF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B5C1A-D1D5-4F99-9F5A-A4EF720E17DD}">
  <dimension ref="A1:Z1028"/>
  <sheetViews>
    <sheetView showGridLines="0" tabSelected="1" topLeftCell="A14" workbookViewId="0">
      <selection activeCell="B44" sqref="B44"/>
    </sheetView>
  </sheetViews>
  <sheetFormatPr defaultRowHeight="13.2"/>
  <cols>
    <col min="1" max="1" width="62.6640625" customWidth="1"/>
    <col min="2" max="2" width="18.77734375" customWidth="1"/>
    <col min="3" max="3" width="31.88671875" customWidth="1"/>
    <col min="4" max="4" width="42.77734375" customWidth="1"/>
    <col min="5" max="5" width="20.109375" customWidth="1"/>
    <col min="6" max="6" width="17.6640625" customWidth="1"/>
    <col min="7" max="7" width="18.6640625" customWidth="1"/>
    <col min="8" max="8" width="24.6640625" customWidth="1"/>
    <col min="9" max="9" width="19.88671875" customWidth="1"/>
  </cols>
  <sheetData>
    <row r="1" spans="1:26" ht="17.399999999999999">
      <c r="A1" s="424" t="s">
        <v>829</v>
      </c>
      <c r="B1" s="425"/>
      <c r="C1" s="425"/>
      <c r="D1" s="425"/>
      <c r="E1" s="425"/>
      <c r="F1" s="425"/>
      <c r="G1" s="425"/>
      <c r="H1" s="425"/>
      <c r="I1" s="425"/>
      <c r="J1" s="425"/>
      <c r="K1" s="425"/>
      <c r="L1" s="425"/>
      <c r="M1" s="425"/>
      <c r="N1" s="425"/>
      <c r="O1" s="425"/>
      <c r="P1" s="425"/>
      <c r="Q1" s="425"/>
      <c r="R1" s="425"/>
      <c r="S1" s="425"/>
      <c r="T1" s="425"/>
      <c r="U1" s="425"/>
      <c r="V1" s="425"/>
      <c r="W1" s="425"/>
      <c r="X1" s="425"/>
      <c r="Y1" s="425"/>
      <c r="Z1" s="425"/>
    </row>
    <row r="2" spans="1:26" ht="14.4">
      <c r="A2" s="426" t="s">
        <v>830</v>
      </c>
      <c r="B2" s="425"/>
      <c r="C2" s="425"/>
      <c r="D2" s="425"/>
      <c r="E2" s="425"/>
      <c r="F2" s="425"/>
      <c r="G2" s="425"/>
      <c r="H2" s="425"/>
      <c r="I2" s="425"/>
      <c r="J2" s="425"/>
      <c r="K2" s="425"/>
      <c r="L2" s="425"/>
      <c r="M2" s="425"/>
      <c r="N2" s="425"/>
      <c r="O2" s="425"/>
      <c r="P2" s="425"/>
      <c r="Q2" s="425"/>
      <c r="R2" s="425"/>
      <c r="S2" s="425"/>
      <c r="T2" s="425"/>
      <c r="U2" s="425"/>
      <c r="V2" s="425"/>
      <c r="W2" s="425"/>
      <c r="X2" s="425"/>
      <c r="Y2" s="425"/>
      <c r="Z2" s="425"/>
    </row>
    <row r="3" spans="1:26" ht="15" thickBot="1">
      <c r="A3" s="425"/>
      <c r="B3" s="425"/>
      <c r="C3" s="425"/>
      <c r="D3" s="425"/>
      <c r="E3" s="425"/>
      <c r="F3" s="425"/>
      <c r="G3" s="425"/>
      <c r="H3" s="425"/>
      <c r="I3" s="425"/>
      <c r="J3" s="425"/>
      <c r="K3" s="425"/>
      <c r="L3" s="425"/>
      <c r="M3" s="425"/>
      <c r="N3" s="425"/>
      <c r="O3" s="425"/>
      <c r="P3" s="425"/>
      <c r="Q3" s="425"/>
      <c r="R3" s="425"/>
      <c r="S3" s="425"/>
      <c r="T3" s="425"/>
      <c r="U3" s="425"/>
      <c r="V3" s="425"/>
      <c r="W3" s="425"/>
      <c r="X3" s="425"/>
      <c r="Y3" s="425"/>
      <c r="Z3" s="425"/>
    </row>
    <row r="4" spans="1:26" ht="15" thickBot="1">
      <c r="A4" s="427" t="s">
        <v>831</v>
      </c>
      <c r="B4" s="425"/>
      <c r="D4" s="518" t="s">
        <v>878</v>
      </c>
      <c r="E4" s="519"/>
      <c r="F4" s="425"/>
      <c r="G4" s="425"/>
      <c r="H4" s="425"/>
      <c r="I4" s="425"/>
      <c r="J4" s="425"/>
      <c r="K4" s="425"/>
      <c r="L4" s="425"/>
      <c r="M4" s="425"/>
      <c r="N4" s="425"/>
      <c r="O4" s="425"/>
      <c r="P4" s="425"/>
      <c r="Q4" s="425"/>
      <c r="R4" s="425"/>
      <c r="S4" s="425"/>
      <c r="T4" s="425"/>
      <c r="U4" s="425"/>
      <c r="V4" s="425"/>
      <c r="W4" s="425"/>
      <c r="X4" s="425"/>
      <c r="Y4" s="425"/>
      <c r="Z4" s="425"/>
    </row>
    <row r="5" spans="1:26" ht="15" thickBot="1">
      <c r="A5" s="428" t="s">
        <v>832</v>
      </c>
      <c r="B5" s="429">
        <v>9600</v>
      </c>
      <c r="D5" s="520" t="s">
        <v>879</v>
      </c>
      <c r="E5" s="521">
        <v>3</v>
      </c>
      <c r="F5" s="425"/>
      <c r="G5" s="425"/>
      <c r="H5" s="425"/>
      <c r="I5" s="425"/>
      <c r="J5" s="425"/>
      <c r="K5" s="425"/>
      <c r="L5" s="425"/>
      <c r="M5" s="425"/>
      <c r="N5" s="425"/>
      <c r="O5" s="425"/>
      <c r="P5" s="425"/>
      <c r="Q5" s="425"/>
      <c r="R5" s="425"/>
      <c r="S5" s="425"/>
      <c r="T5" s="425"/>
      <c r="U5" s="425"/>
      <c r="V5" s="425"/>
      <c r="W5" s="425"/>
      <c r="X5" s="425"/>
      <c r="Y5" s="425"/>
      <c r="Z5" s="425"/>
    </row>
    <row r="6" spans="1:26" ht="27.6" thickBot="1">
      <c r="A6" s="428" t="s">
        <v>833</v>
      </c>
      <c r="B6" s="429">
        <v>7000</v>
      </c>
      <c r="D6" s="520" t="s">
        <v>880</v>
      </c>
      <c r="E6" s="521">
        <v>2</v>
      </c>
      <c r="F6" s="425"/>
      <c r="G6" s="425"/>
      <c r="H6" s="425"/>
      <c r="I6" s="425"/>
      <c r="J6" s="425"/>
      <c r="K6" s="425"/>
      <c r="L6" s="425"/>
      <c r="M6" s="425"/>
      <c r="N6" s="425"/>
      <c r="O6" s="425"/>
      <c r="P6" s="425"/>
      <c r="Q6" s="425"/>
      <c r="R6" s="425"/>
      <c r="S6" s="425"/>
      <c r="T6" s="425"/>
      <c r="U6" s="425"/>
      <c r="V6" s="425"/>
      <c r="W6" s="425"/>
      <c r="X6" s="425"/>
      <c r="Y6" s="425"/>
      <c r="Z6" s="425"/>
    </row>
    <row r="7" spans="1:26" ht="27.6" thickBot="1">
      <c r="A7" s="428" t="s">
        <v>835</v>
      </c>
      <c r="B7" s="430">
        <v>9.5999999999999996E-6</v>
      </c>
      <c r="D7" s="520" t="s">
        <v>881</v>
      </c>
      <c r="E7" s="522" t="s">
        <v>882</v>
      </c>
      <c r="F7" s="425"/>
      <c r="G7" s="425"/>
      <c r="H7" s="425"/>
      <c r="I7" s="425"/>
      <c r="J7" s="425"/>
      <c r="K7" s="425"/>
      <c r="L7" s="425"/>
      <c r="M7" s="425"/>
      <c r="N7" s="425"/>
      <c r="O7" s="425"/>
      <c r="P7" s="425"/>
      <c r="Q7" s="425"/>
      <c r="R7" s="425"/>
      <c r="S7" s="425"/>
      <c r="T7" s="425"/>
      <c r="U7" s="425"/>
      <c r="V7" s="425"/>
      <c r="W7" s="425"/>
      <c r="X7" s="425"/>
      <c r="Y7" s="425"/>
      <c r="Z7" s="425"/>
    </row>
    <row r="8" spans="1:26" ht="15" thickBot="1">
      <c r="A8" s="428" t="s">
        <v>836</v>
      </c>
      <c r="B8" s="430">
        <v>6.9999999999999999E-6</v>
      </c>
      <c r="D8" s="422"/>
      <c r="E8" s="422"/>
      <c r="F8" s="425"/>
      <c r="G8" s="425"/>
      <c r="H8" s="425"/>
      <c r="I8" s="425"/>
      <c r="J8" s="425"/>
      <c r="K8" s="425"/>
      <c r="L8" s="425"/>
      <c r="M8" s="425"/>
      <c r="N8" s="425"/>
      <c r="O8" s="425"/>
      <c r="P8" s="425"/>
      <c r="Q8" s="425"/>
      <c r="R8" s="425"/>
      <c r="S8" s="425"/>
      <c r="T8" s="425"/>
      <c r="U8" s="425"/>
      <c r="V8" s="425"/>
      <c r="W8" s="425"/>
      <c r="X8" s="425"/>
      <c r="Y8" s="425"/>
      <c r="Z8" s="425"/>
    </row>
    <row r="9" spans="1:26" ht="15" thickBot="1">
      <c r="A9" s="428" t="s">
        <v>837</v>
      </c>
      <c r="B9" s="431" t="s">
        <v>838</v>
      </c>
      <c r="D9" s="523" t="s">
        <v>883</v>
      </c>
      <c r="E9" s="519"/>
      <c r="F9" s="425"/>
      <c r="G9" s="425"/>
      <c r="H9" s="425"/>
      <c r="I9" s="425"/>
      <c r="J9" s="425"/>
      <c r="K9" s="425"/>
      <c r="L9" s="425"/>
      <c r="M9" s="425"/>
      <c r="N9" s="425"/>
      <c r="O9" s="425"/>
      <c r="P9" s="425"/>
      <c r="Q9" s="425"/>
      <c r="R9" s="425"/>
      <c r="S9" s="425"/>
      <c r="T9" s="425"/>
      <c r="U9" s="425"/>
      <c r="V9" s="425"/>
      <c r="W9" s="425"/>
      <c r="X9" s="425"/>
      <c r="Y9" s="425"/>
      <c r="Z9" s="425"/>
    </row>
    <row r="10" spans="1:26" ht="27.6" thickBot="1">
      <c r="A10" s="428" t="s">
        <v>839</v>
      </c>
      <c r="B10" s="431" t="s">
        <v>840</v>
      </c>
      <c r="D10" s="520" t="s">
        <v>884</v>
      </c>
      <c r="E10" s="521">
        <v>0.02</v>
      </c>
      <c r="F10" s="425"/>
      <c r="G10" s="425"/>
      <c r="H10" s="425"/>
      <c r="I10" s="425"/>
      <c r="J10" s="425"/>
      <c r="K10" s="425"/>
      <c r="L10" s="425"/>
      <c r="M10" s="425"/>
      <c r="N10" s="425"/>
      <c r="O10" s="425"/>
      <c r="P10" s="425"/>
      <c r="Q10" s="425"/>
      <c r="R10" s="425"/>
      <c r="S10" s="425"/>
      <c r="T10" s="425"/>
      <c r="U10" s="425"/>
      <c r="V10" s="425"/>
      <c r="W10" s="425"/>
      <c r="X10" s="425"/>
      <c r="Y10" s="425"/>
      <c r="Z10" s="425"/>
    </row>
    <row r="11" spans="1:26" ht="15" thickBot="1">
      <c r="A11" s="428" t="s">
        <v>841</v>
      </c>
      <c r="B11" s="429">
        <v>6</v>
      </c>
      <c r="D11" s="520" t="s">
        <v>885</v>
      </c>
      <c r="E11" s="524" t="s">
        <v>834</v>
      </c>
      <c r="F11" s="425"/>
      <c r="G11" s="425"/>
      <c r="H11" s="425"/>
      <c r="I11" s="425"/>
      <c r="J11" s="425"/>
      <c r="K11" s="425"/>
      <c r="L11" s="425"/>
      <c r="M11" s="425"/>
      <c r="N11" s="425"/>
      <c r="O11" s="425"/>
      <c r="P11" s="425"/>
      <c r="Q11" s="425"/>
      <c r="R11" s="425"/>
      <c r="S11" s="425"/>
      <c r="T11" s="425"/>
      <c r="U11" s="425"/>
      <c r="V11" s="425"/>
      <c r="W11" s="425"/>
      <c r="X11" s="425"/>
      <c r="Y11" s="425"/>
      <c r="Z11" s="425"/>
    </row>
    <row r="12" spans="1:26" ht="15" thickBot="1">
      <c r="A12" s="428" t="s">
        <v>842</v>
      </c>
      <c r="B12" s="432">
        <v>8760</v>
      </c>
      <c r="D12" s="520" t="s">
        <v>886</v>
      </c>
      <c r="E12" s="525">
        <v>6.9999999999999999E-6</v>
      </c>
      <c r="F12" s="425"/>
      <c r="G12" s="425"/>
      <c r="H12" s="425"/>
      <c r="I12" s="425"/>
      <c r="J12" s="425"/>
      <c r="K12" s="425"/>
      <c r="L12" s="425"/>
      <c r="M12" s="425"/>
      <c r="N12" s="425"/>
      <c r="O12" s="425"/>
      <c r="P12" s="425"/>
      <c r="Q12" s="425"/>
      <c r="R12" s="425"/>
      <c r="S12" s="425"/>
      <c r="T12" s="425"/>
      <c r="U12" s="425"/>
      <c r="V12" s="425"/>
      <c r="W12" s="425"/>
      <c r="X12" s="425"/>
      <c r="Y12" s="425"/>
      <c r="Z12" s="425"/>
    </row>
    <row r="13" spans="1:26" ht="15" thickBot="1">
      <c r="A13" s="454" t="s">
        <v>877</v>
      </c>
      <c r="B13" s="455">
        <v>2</v>
      </c>
      <c r="C13" s="425"/>
      <c r="D13" s="425"/>
      <c r="E13" s="425"/>
      <c r="F13" s="425"/>
      <c r="G13" s="425"/>
      <c r="H13" s="425"/>
      <c r="I13" s="425"/>
      <c r="J13" s="425"/>
      <c r="K13" s="425"/>
      <c r="L13" s="425"/>
      <c r="M13" s="425"/>
      <c r="N13" s="425"/>
      <c r="O13" s="425"/>
      <c r="P13" s="425"/>
      <c r="Q13" s="425"/>
      <c r="R13" s="425"/>
      <c r="S13" s="425"/>
      <c r="T13" s="425"/>
      <c r="U13" s="425"/>
      <c r="V13" s="425"/>
      <c r="W13" s="425"/>
      <c r="X13" s="425"/>
      <c r="Y13" s="425"/>
      <c r="Z13" s="425"/>
    </row>
    <row r="14" spans="1:26" ht="14.4">
      <c r="A14" s="425"/>
      <c r="B14" s="425"/>
      <c r="C14" s="425"/>
      <c r="D14" s="425"/>
      <c r="E14" s="425"/>
      <c r="F14" s="425"/>
      <c r="G14" s="425"/>
      <c r="H14" s="425"/>
      <c r="I14" s="425"/>
      <c r="J14" s="425"/>
      <c r="K14" s="425"/>
      <c r="L14" s="425"/>
      <c r="M14" s="425"/>
      <c r="N14" s="425"/>
      <c r="O14" s="425"/>
      <c r="P14" s="425"/>
      <c r="Q14" s="425"/>
      <c r="R14" s="425"/>
      <c r="S14" s="425"/>
      <c r="T14" s="425"/>
      <c r="U14" s="425"/>
      <c r="V14" s="425"/>
      <c r="W14" s="425"/>
      <c r="X14" s="425"/>
      <c r="Y14" s="425"/>
      <c r="Z14" s="425"/>
    </row>
    <row r="15" spans="1:26" ht="14.4">
      <c r="A15" s="433" t="s">
        <v>843</v>
      </c>
      <c r="B15" s="425"/>
      <c r="C15" s="425"/>
      <c r="D15" s="425"/>
      <c r="E15" s="425"/>
      <c r="F15" s="425"/>
      <c r="G15" s="425"/>
      <c r="H15" s="425"/>
      <c r="I15" s="425"/>
      <c r="J15" s="425"/>
      <c r="K15" s="425"/>
      <c r="L15" s="425"/>
      <c r="M15" s="425"/>
      <c r="N15" s="425"/>
      <c r="O15" s="425"/>
      <c r="P15" s="425"/>
      <c r="Q15" s="425"/>
      <c r="R15" s="425"/>
      <c r="S15" s="425"/>
      <c r="T15" s="425"/>
      <c r="U15" s="425"/>
      <c r="V15" s="425"/>
      <c r="W15" s="425"/>
      <c r="X15" s="425"/>
      <c r="Y15" s="425"/>
      <c r="Z15" s="425"/>
    </row>
    <row r="16" spans="1:26" ht="40.200000000000003" thickBot="1">
      <c r="A16" s="434" t="s">
        <v>844</v>
      </c>
      <c r="B16" s="434" t="s">
        <v>845</v>
      </c>
      <c r="C16" s="434" t="s">
        <v>846</v>
      </c>
      <c r="D16" s="434" t="s">
        <v>847</v>
      </c>
      <c r="E16" s="434" t="s">
        <v>848</v>
      </c>
      <c r="F16" s="434" t="s">
        <v>849</v>
      </c>
      <c r="G16" s="434" t="s">
        <v>850</v>
      </c>
      <c r="H16" s="434" t="s">
        <v>851</v>
      </c>
      <c r="I16" s="434" t="s">
        <v>852</v>
      </c>
      <c r="J16" s="425"/>
      <c r="K16" s="425"/>
      <c r="L16" s="425"/>
      <c r="M16" s="425"/>
      <c r="N16" s="425"/>
      <c r="O16" s="425"/>
      <c r="P16" s="425"/>
      <c r="Q16" s="425"/>
      <c r="R16" s="425"/>
      <c r="S16" s="425"/>
      <c r="T16" s="425"/>
      <c r="U16" s="425"/>
      <c r="V16" s="425"/>
      <c r="W16" s="425"/>
      <c r="X16" s="425"/>
      <c r="Y16" s="425"/>
      <c r="Z16" s="425"/>
    </row>
    <row r="17" spans="1:26" ht="15" thickBot="1">
      <c r="A17" s="435">
        <v>1</v>
      </c>
      <c r="B17" s="440">
        <f>$B$7*A17</f>
        <v>9.5999999999999996E-6</v>
      </c>
      <c r="C17" s="441">
        <f>$B$8*A17</f>
        <v>6.9999999999999999E-6</v>
      </c>
      <c r="D17" s="441">
        <f>$B$7*C17+$B$8*B17</f>
        <v>1.344E-10</v>
      </c>
      <c r="E17" s="442">
        <f t="shared" ref="E17:E22" si="0">D17/nano</f>
        <v>0.13439999999999999</v>
      </c>
      <c r="F17" s="443">
        <f>1/(D17*$B$12)</f>
        <v>849369.42813655152</v>
      </c>
      <c r="G17" s="441">
        <f>B17*C17</f>
        <v>6.7199999999999998E-11</v>
      </c>
      <c r="H17" s="444">
        <f>1-G17</f>
        <v>0.99999999993279998</v>
      </c>
      <c r="I17" s="445">
        <f>G17*$B$12*60</f>
        <v>3.5320319999999996E-5</v>
      </c>
      <c r="J17" s="425"/>
      <c r="K17" s="425"/>
      <c r="L17" s="425"/>
      <c r="M17" s="425"/>
      <c r="N17" s="425"/>
      <c r="O17" s="425"/>
      <c r="P17" s="425"/>
      <c r="Q17" s="425"/>
      <c r="R17" s="425"/>
      <c r="S17" s="425"/>
      <c r="T17" s="425"/>
      <c r="U17" s="425"/>
      <c r="V17" s="425"/>
      <c r="W17" s="425"/>
      <c r="X17" s="425"/>
      <c r="Y17" s="425"/>
      <c r="Z17" s="425"/>
    </row>
    <row r="18" spans="1:26" ht="15" thickBot="1">
      <c r="A18" s="438">
        <v>4</v>
      </c>
      <c r="B18" s="440">
        <f t="shared" ref="B18:B22" si="1">$B$7*A18</f>
        <v>3.8399999999999998E-5</v>
      </c>
      <c r="C18" s="441">
        <f t="shared" ref="C18:C22" si="2">$B$8*A18</f>
        <v>2.8E-5</v>
      </c>
      <c r="D18" s="441">
        <f t="shared" ref="D18:D22" si="3">$B$7*C18+$B$8*B18</f>
        <v>5.3759999999999998E-10</v>
      </c>
      <c r="E18" s="442">
        <f t="shared" si="0"/>
        <v>0.53759999999999997</v>
      </c>
      <c r="F18" s="443">
        <f t="shared" ref="F18:F22" si="4">1/(D18*$B$12)</f>
        <v>212342.35703413788</v>
      </c>
      <c r="G18" s="441">
        <f t="shared" ref="G18:G22" si="5">B18*C18</f>
        <v>1.0752E-9</v>
      </c>
      <c r="H18" s="444">
        <f t="shared" ref="H18:H22" si="6">1-G18</f>
        <v>0.99999999892479996</v>
      </c>
      <c r="I18" s="445">
        <f t="shared" ref="I18:I22" si="7">G18*$B$12*60</f>
        <v>5.6512511999999993E-4</v>
      </c>
      <c r="J18" s="425"/>
      <c r="K18" s="425"/>
      <c r="L18" s="425"/>
      <c r="M18" s="425"/>
      <c r="N18" s="425"/>
      <c r="O18" s="425"/>
      <c r="P18" s="425"/>
      <c r="Q18" s="425"/>
      <c r="R18" s="425"/>
      <c r="S18" s="425"/>
      <c r="T18" s="425"/>
      <c r="U18" s="425"/>
      <c r="V18" s="425"/>
      <c r="W18" s="425"/>
      <c r="X18" s="425"/>
      <c r="Y18" s="425"/>
      <c r="Z18" s="425"/>
    </row>
    <row r="19" spans="1:26" ht="15" thickBot="1">
      <c r="A19" s="435">
        <v>8</v>
      </c>
      <c r="B19" s="440">
        <f t="shared" si="1"/>
        <v>7.6799999999999997E-5</v>
      </c>
      <c r="C19" s="441">
        <f t="shared" si="2"/>
        <v>5.5999999999999999E-5</v>
      </c>
      <c r="D19" s="441">
        <f t="shared" si="3"/>
        <v>1.0752E-9</v>
      </c>
      <c r="E19" s="442">
        <f t="shared" si="0"/>
        <v>1.0751999999999999</v>
      </c>
      <c r="F19" s="443">
        <f t="shared" si="4"/>
        <v>106171.17851706894</v>
      </c>
      <c r="G19" s="441">
        <f t="shared" si="5"/>
        <v>4.3007999999999999E-9</v>
      </c>
      <c r="H19" s="444">
        <f t="shared" si="6"/>
        <v>0.99999999569919995</v>
      </c>
      <c r="I19" s="445">
        <f t="shared" si="7"/>
        <v>2.2605004799999997E-3</v>
      </c>
      <c r="J19" s="425"/>
      <c r="K19" s="425"/>
      <c r="L19" s="425"/>
      <c r="M19" s="425"/>
      <c r="N19" s="425"/>
      <c r="O19" s="425"/>
      <c r="P19" s="425"/>
      <c r="Q19" s="425"/>
      <c r="R19" s="425"/>
      <c r="S19" s="425"/>
      <c r="T19" s="425"/>
      <c r="U19" s="425"/>
      <c r="V19" s="425"/>
      <c r="W19" s="425"/>
      <c r="X19" s="425"/>
      <c r="Y19" s="425"/>
      <c r="Z19" s="425"/>
    </row>
    <row r="20" spans="1:26" ht="15" thickBot="1">
      <c r="A20" s="438">
        <v>12</v>
      </c>
      <c r="B20" s="440">
        <f t="shared" si="1"/>
        <v>1.1519999999999999E-4</v>
      </c>
      <c r="C20" s="441">
        <f t="shared" si="2"/>
        <v>8.3999999999999995E-5</v>
      </c>
      <c r="D20" s="441">
        <f t="shared" si="3"/>
        <v>1.6127999999999998E-9</v>
      </c>
      <c r="E20" s="442">
        <f t="shared" si="0"/>
        <v>1.6127999999999998</v>
      </c>
      <c r="F20" s="443">
        <f t="shared" si="4"/>
        <v>70780.785678045955</v>
      </c>
      <c r="G20" s="441">
        <f t="shared" si="5"/>
        <v>9.6767999999999987E-9</v>
      </c>
      <c r="H20" s="444">
        <f t="shared" si="6"/>
        <v>0.99999999032319997</v>
      </c>
      <c r="I20" s="445">
        <f t="shared" si="7"/>
        <v>5.0861260799999995E-3</v>
      </c>
      <c r="J20" s="425"/>
      <c r="K20" s="425"/>
      <c r="L20" s="425"/>
      <c r="M20" s="425"/>
      <c r="N20" s="425"/>
      <c r="O20" s="425"/>
      <c r="P20" s="425"/>
      <c r="Q20" s="425"/>
      <c r="R20" s="425"/>
      <c r="S20" s="425"/>
      <c r="T20" s="425"/>
      <c r="U20" s="425"/>
      <c r="V20" s="425"/>
      <c r="W20" s="425"/>
      <c r="X20" s="425"/>
      <c r="Y20" s="425"/>
      <c r="Z20" s="425"/>
    </row>
    <row r="21" spans="1:26" ht="15" thickBot="1">
      <c r="A21" s="435">
        <v>24</v>
      </c>
      <c r="B21" s="440">
        <f t="shared" si="1"/>
        <v>2.3039999999999999E-4</v>
      </c>
      <c r="C21" s="441">
        <f t="shared" si="2"/>
        <v>1.6799999999999999E-4</v>
      </c>
      <c r="D21" s="441">
        <f t="shared" si="3"/>
        <v>3.2255999999999997E-9</v>
      </c>
      <c r="E21" s="442">
        <f t="shared" si="0"/>
        <v>3.2255999999999996</v>
      </c>
      <c r="F21" s="443">
        <f t="shared" si="4"/>
        <v>35390.392839022978</v>
      </c>
      <c r="G21" s="441">
        <f t="shared" si="5"/>
        <v>3.8707199999999995E-8</v>
      </c>
      <c r="H21" s="444">
        <f t="shared" si="6"/>
        <v>0.9999999612928</v>
      </c>
      <c r="I21" s="445">
        <f t="shared" si="7"/>
        <v>2.0344504319999998E-2</v>
      </c>
      <c r="J21" s="425"/>
      <c r="K21" s="425"/>
      <c r="L21" s="425"/>
      <c r="M21" s="425"/>
      <c r="N21" s="425"/>
      <c r="O21" s="425"/>
      <c r="P21" s="425"/>
      <c r="Q21" s="425"/>
      <c r="R21" s="425"/>
      <c r="S21" s="425"/>
      <c r="T21" s="425"/>
      <c r="U21" s="425"/>
      <c r="V21" s="425"/>
      <c r="W21" s="425"/>
      <c r="X21" s="425"/>
      <c r="Y21" s="425"/>
      <c r="Z21" s="425"/>
    </row>
    <row r="22" spans="1:26" ht="15" thickBot="1">
      <c r="A22" s="438">
        <v>72</v>
      </c>
      <c r="B22" s="440">
        <f t="shared" si="1"/>
        <v>6.912E-4</v>
      </c>
      <c r="C22" s="441">
        <f t="shared" si="2"/>
        <v>5.04E-4</v>
      </c>
      <c r="D22" s="441">
        <f t="shared" si="3"/>
        <v>9.6768000000000003E-9</v>
      </c>
      <c r="E22" s="442">
        <f t="shared" si="0"/>
        <v>9.6768000000000001</v>
      </c>
      <c r="F22" s="443">
        <f t="shared" si="4"/>
        <v>11796.797613007659</v>
      </c>
      <c r="G22" s="441">
        <f t="shared" si="5"/>
        <v>3.4836479999999997E-7</v>
      </c>
      <c r="H22" s="444">
        <f t="shared" si="6"/>
        <v>0.99999965163519999</v>
      </c>
      <c r="I22" s="445">
        <f t="shared" si="7"/>
        <v>0.18310053888</v>
      </c>
      <c r="J22" s="425"/>
      <c r="K22" s="425"/>
      <c r="L22" s="425"/>
      <c r="M22" s="425"/>
      <c r="N22" s="425"/>
      <c r="O22" s="425"/>
      <c r="P22" s="425"/>
      <c r="Q22" s="425"/>
      <c r="R22" s="425"/>
      <c r="S22" s="425"/>
      <c r="T22" s="425"/>
      <c r="U22" s="425"/>
      <c r="V22" s="425"/>
      <c r="W22" s="425"/>
      <c r="X22" s="425"/>
      <c r="Y22" s="425"/>
      <c r="Z22" s="425"/>
    </row>
    <row r="23" spans="1:26" ht="14.4">
      <c r="A23" s="425"/>
      <c r="B23" s="425"/>
      <c r="C23" s="425"/>
      <c r="D23" s="425"/>
      <c r="E23" s="425"/>
      <c r="F23" s="425"/>
      <c r="G23" s="425"/>
      <c r="H23" s="425"/>
      <c r="I23" s="425"/>
      <c r="J23" s="425"/>
      <c r="K23" s="425"/>
      <c r="L23" s="425"/>
      <c r="M23" s="425"/>
      <c r="N23" s="425"/>
      <c r="O23" s="425"/>
      <c r="P23" s="425"/>
      <c r="Q23" s="425"/>
      <c r="R23" s="425"/>
      <c r="S23" s="425"/>
      <c r="T23" s="425"/>
      <c r="U23" s="425"/>
      <c r="V23" s="425"/>
      <c r="W23" s="425"/>
      <c r="X23" s="425"/>
      <c r="Y23" s="425"/>
      <c r="Z23" s="425"/>
    </row>
    <row r="24" spans="1:26" ht="14.4">
      <c r="A24" s="433" t="s">
        <v>853</v>
      </c>
      <c r="B24" s="425"/>
      <c r="C24" s="425"/>
      <c r="D24" s="425"/>
      <c r="E24" s="425"/>
      <c r="F24" s="425"/>
      <c r="G24" s="425"/>
      <c r="H24" s="425"/>
      <c r="I24" s="425"/>
      <c r="J24" s="425"/>
      <c r="K24" s="425"/>
      <c r="L24" s="425"/>
      <c r="M24" s="425"/>
      <c r="N24" s="425"/>
      <c r="O24" s="425"/>
      <c r="P24" s="425"/>
      <c r="Q24" s="425"/>
      <c r="R24" s="425"/>
      <c r="S24" s="425"/>
      <c r="T24" s="425"/>
      <c r="U24" s="425"/>
      <c r="V24" s="425"/>
      <c r="W24" s="425"/>
      <c r="X24" s="425"/>
      <c r="Y24" s="425"/>
      <c r="Z24" s="425"/>
    </row>
    <row r="25" spans="1:26" ht="40.200000000000003" thickBot="1">
      <c r="A25" s="434" t="s">
        <v>844</v>
      </c>
      <c r="B25" s="434" t="s">
        <v>854</v>
      </c>
      <c r="C25" s="434" t="s">
        <v>855</v>
      </c>
      <c r="D25" s="434" t="s">
        <v>856</v>
      </c>
      <c r="E25" s="434" t="s">
        <v>857</v>
      </c>
      <c r="F25" s="434" t="s">
        <v>858</v>
      </c>
      <c r="G25" s="434" t="s">
        <v>859</v>
      </c>
      <c r="H25" s="434" t="s">
        <v>860</v>
      </c>
      <c r="I25" s="434" t="s">
        <v>851</v>
      </c>
      <c r="J25" s="425"/>
      <c r="K25" s="425"/>
      <c r="L25" s="425"/>
      <c r="M25" s="425"/>
      <c r="N25" s="425"/>
      <c r="O25" s="425"/>
      <c r="P25" s="425"/>
      <c r="Q25" s="425"/>
      <c r="R25" s="425"/>
      <c r="S25" s="425"/>
      <c r="T25" s="425"/>
      <c r="U25" s="425"/>
      <c r="V25" s="425"/>
      <c r="W25" s="425"/>
      <c r="X25" s="425"/>
      <c r="Y25" s="425"/>
      <c r="Z25" s="425"/>
    </row>
    <row r="26" spans="1:26" ht="15" thickBot="1">
      <c r="A26" s="435">
        <v>1</v>
      </c>
      <c r="B26" s="436">
        <f>$B$11*D17</f>
        <v>8.0640000000000003E-10</v>
      </c>
      <c r="C26" s="442">
        <f t="shared" ref="C26:C31" si="8">B26/nano</f>
        <v>0.80640000000000001</v>
      </c>
      <c r="D26" s="443">
        <f>1/(B26*$B$12)</f>
        <v>141561.57135609188</v>
      </c>
      <c r="E26" s="436">
        <f>$B$11*G17</f>
        <v>4.0320000000000001E-10</v>
      </c>
      <c r="F26" s="446">
        <f>E26*$B$12*3600</f>
        <v>1.2715315200000001E-2</v>
      </c>
      <c r="G26" s="446">
        <f>E26*$B$12*60</f>
        <v>2.1192192000000002E-4</v>
      </c>
      <c r="H26" s="437">
        <f>E26/0.000001</f>
        <v>4.0320000000000004E-4</v>
      </c>
      <c r="I26" s="444">
        <f>1-E26</f>
        <v>0.99999999959679997</v>
      </c>
      <c r="J26" s="425"/>
      <c r="K26" s="425"/>
      <c r="L26" s="425"/>
      <c r="M26" s="425"/>
      <c r="N26" s="425"/>
      <c r="O26" s="425"/>
      <c r="P26" s="425"/>
      <c r="Q26" s="425"/>
      <c r="R26" s="425"/>
      <c r="S26" s="425"/>
      <c r="T26" s="425"/>
      <c r="U26" s="425"/>
      <c r="V26" s="425"/>
      <c r="W26" s="425"/>
      <c r="X26" s="425"/>
      <c r="Y26" s="425"/>
      <c r="Z26" s="425"/>
    </row>
    <row r="27" spans="1:26" ht="15" thickBot="1">
      <c r="A27" s="438">
        <v>4</v>
      </c>
      <c r="B27" s="436">
        <f t="shared" ref="B27:B31" si="9">$B$11*D18</f>
        <v>3.2256000000000001E-9</v>
      </c>
      <c r="C27" s="442">
        <f t="shared" si="8"/>
        <v>3.2256</v>
      </c>
      <c r="D27" s="443">
        <f t="shared" ref="D27:D31" si="10">1/(B27*$B$12)</f>
        <v>35390.39283902297</v>
      </c>
      <c r="E27" s="436">
        <f t="shared" ref="E27:E31" si="11">$B$11*G18</f>
        <v>6.4512000000000002E-9</v>
      </c>
      <c r="F27" s="446">
        <f t="shared" ref="F27:F31" si="12">E27*$B$12*3600</f>
        <v>0.20344504320000001</v>
      </c>
      <c r="G27" s="446">
        <f t="shared" ref="G27:G31" si="13">E27*$B$12*60</f>
        <v>3.3907507200000003E-3</v>
      </c>
      <c r="H27" s="437">
        <f t="shared" ref="H27:H31" si="14">E27/0.000001</f>
        <v>6.4512000000000007E-3</v>
      </c>
      <c r="I27" s="444">
        <f t="shared" ref="I27:I31" si="15">1-E27</f>
        <v>0.99999999354879998</v>
      </c>
      <c r="J27" s="425"/>
      <c r="K27" s="425"/>
      <c r="L27" s="425"/>
      <c r="M27" s="425"/>
      <c r="N27" s="425"/>
      <c r="O27" s="425"/>
      <c r="P27" s="425"/>
      <c r="Q27" s="425"/>
      <c r="R27" s="425"/>
      <c r="S27" s="425"/>
      <c r="T27" s="425"/>
      <c r="U27" s="425"/>
      <c r="V27" s="425"/>
      <c r="W27" s="425"/>
      <c r="X27" s="425"/>
      <c r="Y27" s="425"/>
      <c r="Z27" s="425"/>
    </row>
    <row r="28" spans="1:26" ht="15" thickBot="1">
      <c r="A28" s="435">
        <v>8</v>
      </c>
      <c r="B28" s="436">
        <f t="shared" si="9"/>
        <v>6.4512000000000002E-9</v>
      </c>
      <c r="C28" s="442">
        <f t="shared" si="8"/>
        <v>6.4512</v>
      </c>
      <c r="D28" s="443">
        <f t="shared" si="10"/>
        <v>17695.196419511485</v>
      </c>
      <c r="E28" s="436">
        <f t="shared" si="11"/>
        <v>2.5804800000000001E-8</v>
      </c>
      <c r="F28" s="446">
        <f t="shared" si="12"/>
        <v>0.81378017280000003</v>
      </c>
      <c r="G28" s="446">
        <f t="shared" si="13"/>
        <v>1.3563002880000001E-2</v>
      </c>
      <c r="H28" s="437">
        <f t="shared" si="14"/>
        <v>2.5804800000000003E-2</v>
      </c>
      <c r="I28" s="444">
        <f t="shared" si="15"/>
        <v>0.99999997419520004</v>
      </c>
      <c r="J28" s="425"/>
      <c r="K28" s="425"/>
      <c r="L28" s="425"/>
      <c r="M28" s="425"/>
      <c r="N28" s="425"/>
      <c r="O28" s="425"/>
      <c r="P28" s="425"/>
      <c r="Q28" s="425"/>
      <c r="R28" s="425"/>
      <c r="S28" s="425"/>
      <c r="T28" s="425"/>
      <c r="U28" s="425"/>
      <c r="V28" s="425"/>
      <c r="W28" s="425"/>
      <c r="X28" s="425"/>
      <c r="Y28" s="425"/>
      <c r="Z28" s="425"/>
    </row>
    <row r="29" spans="1:26" ht="15" thickBot="1">
      <c r="A29" s="438">
        <v>12</v>
      </c>
      <c r="B29" s="436">
        <f t="shared" si="9"/>
        <v>9.6767999999999987E-9</v>
      </c>
      <c r="C29" s="442">
        <f t="shared" si="8"/>
        <v>9.6767999999999983</v>
      </c>
      <c r="D29" s="443">
        <f t="shared" si="10"/>
        <v>11796.79761300766</v>
      </c>
      <c r="E29" s="436">
        <f t="shared" si="11"/>
        <v>5.8060799999999995E-8</v>
      </c>
      <c r="F29" s="446">
        <f t="shared" si="12"/>
        <v>1.8310053887999997</v>
      </c>
      <c r="G29" s="446">
        <f t="shared" si="13"/>
        <v>3.0516756479999997E-2</v>
      </c>
      <c r="H29" s="437">
        <f t="shared" si="14"/>
        <v>5.8060799999999996E-2</v>
      </c>
      <c r="I29" s="444">
        <f t="shared" si="15"/>
        <v>0.99999994193920005</v>
      </c>
      <c r="J29" s="425"/>
      <c r="K29" s="425"/>
      <c r="L29" s="425"/>
      <c r="M29" s="425"/>
      <c r="N29" s="425"/>
      <c r="O29" s="425"/>
      <c r="P29" s="425"/>
      <c r="Q29" s="425"/>
      <c r="R29" s="425"/>
      <c r="S29" s="425"/>
      <c r="T29" s="425"/>
      <c r="U29" s="425"/>
      <c r="V29" s="425"/>
      <c r="W29" s="425"/>
      <c r="X29" s="425"/>
      <c r="Y29" s="425"/>
      <c r="Z29" s="425"/>
    </row>
    <row r="30" spans="1:26" ht="15" thickBot="1">
      <c r="A30" s="435">
        <v>24</v>
      </c>
      <c r="B30" s="436">
        <f t="shared" si="9"/>
        <v>1.9353599999999997E-8</v>
      </c>
      <c r="C30" s="442">
        <f t="shared" si="8"/>
        <v>19.353599999999997</v>
      </c>
      <c r="D30" s="443">
        <f t="shared" si="10"/>
        <v>5898.3988065038302</v>
      </c>
      <c r="E30" s="436">
        <f t="shared" si="11"/>
        <v>2.3224319999999998E-7</v>
      </c>
      <c r="F30" s="446">
        <f t="shared" si="12"/>
        <v>7.324021555199999</v>
      </c>
      <c r="G30" s="446">
        <f t="shared" si="13"/>
        <v>0.12206702591999999</v>
      </c>
      <c r="H30" s="437">
        <f t="shared" si="14"/>
        <v>0.23224319999999998</v>
      </c>
      <c r="I30" s="444">
        <f t="shared" si="15"/>
        <v>0.9999997677568</v>
      </c>
      <c r="J30" s="425"/>
      <c r="K30" s="425"/>
      <c r="L30" s="425"/>
      <c r="M30" s="425"/>
      <c r="N30" s="425"/>
      <c r="O30" s="425"/>
      <c r="P30" s="425"/>
      <c r="Q30" s="425"/>
      <c r="R30" s="425"/>
      <c r="S30" s="425"/>
      <c r="T30" s="425"/>
      <c r="U30" s="425"/>
      <c r="V30" s="425"/>
      <c r="W30" s="425"/>
      <c r="X30" s="425"/>
      <c r="Y30" s="425"/>
      <c r="Z30" s="425"/>
    </row>
    <row r="31" spans="1:26" ht="15" thickBot="1">
      <c r="A31" s="438">
        <v>72</v>
      </c>
      <c r="B31" s="436">
        <f t="shared" si="9"/>
        <v>5.8060800000000002E-8</v>
      </c>
      <c r="C31" s="442">
        <f t="shared" si="8"/>
        <v>58.0608</v>
      </c>
      <c r="D31" s="443">
        <f t="shared" si="10"/>
        <v>1966.1329355012763</v>
      </c>
      <c r="E31" s="436">
        <f t="shared" si="11"/>
        <v>2.0901887999999999E-6</v>
      </c>
      <c r="F31" s="446">
        <f t="shared" si="12"/>
        <v>65.916193996800004</v>
      </c>
      <c r="G31" s="446">
        <f t="shared" si="13"/>
        <v>1.09860323328</v>
      </c>
      <c r="H31" s="437">
        <f t="shared" si="14"/>
        <v>2.0901888</v>
      </c>
      <c r="I31" s="444">
        <f t="shared" si="15"/>
        <v>0.99999790981119996</v>
      </c>
      <c r="J31" s="425"/>
      <c r="K31" s="425"/>
      <c r="L31" s="425"/>
      <c r="M31" s="425"/>
      <c r="N31" s="425"/>
      <c r="O31" s="425"/>
      <c r="P31" s="425"/>
      <c r="Q31" s="425"/>
      <c r="R31" s="425"/>
      <c r="S31" s="425"/>
      <c r="T31" s="425"/>
      <c r="U31" s="425"/>
      <c r="V31" s="425"/>
      <c r="W31" s="425"/>
      <c r="X31" s="425"/>
      <c r="Y31" s="425"/>
      <c r="Z31" s="425"/>
    </row>
    <row r="32" spans="1:26" ht="14.4">
      <c r="A32" s="425"/>
      <c r="B32" s="425"/>
      <c r="C32" s="425"/>
      <c r="D32" s="425"/>
      <c r="E32" s="425"/>
      <c r="F32" s="425"/>
      <c r="G32" s="425"/>
      <c r="H32" s="425"/>
      <c r="I32" s="425"/>
      <c r="J32" s="425"/>
      <c r="K32" s="425"/>
      <c r="L32" s="425"/>
      <c r="M32" s="425"/>
      <c r="N32" s="425"/>
      <c r="O32" s="425"/>
      <c r="P32" s="425"/>
      <c r="Q32" s="425"/>
      <c r="R32" s="425"/>
      <c r="S32" s="425"/>
      <c r="T32" s="425"/>
      <c r="U32" s="425"/>
      <c r="V32" s="425"/>
      <c r="W32" s="425"/>
      <c r="X32" s="425"/>
      <c r="Y32" s="425"/>
      <c r="Z32" s="425"/>
    </row>
    <row r="33" spans="1:26" ht="15" thickBot="1">
      <c r="A33" s="433" t="s">
        <v>876</v>
      </c>
      <c r="B33" s="425"/>
      <c r="C33" s="425"/>
      <c r="D33" s="425"/>
      <c r="E33" s="425"/>
      <c r="F33" s="425"/>
      <c r="G33" s="425"/>
      <c r="H33" s="425"/>
      <c r="I33" s="425"/>
      <c r="J33" s="425"/>
      <c r="K33" s="425"/>
      <c r="L33" s="425"/>
      <c r="M33" s="425"/>
      <c r="N33" s="425"/>
      <c r="O33" s="425"/>
      <c r="P33" s="425"/>
      <c r="Q33" s="425"/>
      <c r="R33" s="425"/>
      <c r="S33" s="425"/>
      <c r="T33" s="425"/>
      <c r="U33" s="425"/>
      <c r="V33" s="425"/>
      <c r="W33" s="425"/>
      <c r="X33" s="425"/>
      <c r="Y33" s="425"/>
      <c r="Z33" s="425"/>
    </row>
    <row r="34" spans="1:26" ht="53.4" thickBot="1">
      <c r="A34" s="447" t="s">
        <v>844</v>
      </c>
      <c r="B34" s="448" t="s">
        <v>869</v>
      </c>
      <c r="C34" s="448" t="s">
        <v>870</v>
      </c>
      <c r="D34" s="448" t="s">
        <v>871</v>
      </c>
      <c r="E34" s="448" t="s">
        <v>872</v>
      </c>
      <c r="F34" s="448" t="s">
        <v>873</v>
      </c>
      <c r="G34" s="448" t="s">
        <v>874</v>
      </c>
      <c r="H34" s="448" t="s">
        <v>875</v>
      </c>
      <c r="I34" s="434" t="s">
        <v>851</v>
      </c>
      <c r="J34" s="425"/>
      <c r="K34" s="425"/>
      <c r="L34" s="425"/>
      <c r="M34" s="425"/>
      <c r="N34" s="425"/>
      <c r="O34" s="425"/>
      <c r="P34" s="425"/>
      <c r="Q34" s="425"/>
      <c r="R34" s="425"/>
      <c r="S34" s="425"/>
      <c r="T34" s="425"/>
      <c r="U34" s="425"/>
      <c r="V34" s="425"/>
      <c r="W34" s="425"/>
      <c r="X34" s="425"/>
      <c r="Y34" s="425"/>
      <c r="Z34" s="425"/>
    </row>
    <row r="35" spans="1:26" ht="15" thickBot="1">
      <c r="A35" s="449">
        <v>1</v>
      </c>
      <c r="B35" s="450">
        <f>$B$11*$B$13</f>
        <v>12</v>
      </c>
      <c r="C35" s="451">
        <f>$B$13*B26</f>
        <v>1.6128000000000001E-9</v>
      </c>
      <c r="D35" s="456">
        <f t="shared" ref="D35:D40" si="16">C35/nano</f>
        <v>1.6128</v>
      </c>
      <c r="E35" s="443">
        <f>1/(C35*$B$12)</f>
        <v>70780.785678045941</v>
      </c>
      <c r="F35" s="451">
        <f>E26*$B$13</f>
        <v>8.0640000000000003E-10</v>
      </c>
      <c r="G35" s="446">
        <f>F35*$B$12*3600</f>
        <v>2.5430630400000001E-2</v>
      </c>
      <c r="H35" s="452">
        <f>F35/0.000001</f>
        <v>8.0640000000000009E-4</v>
      </c>
      <c r="I35" s="444">
        <f>1-F35</f>
        <v>0.99999999919360005</v>
      </c>
      <c r="J35" s="425"/>
      <c r="K35" s="425"/>
      <c r="L35" s="425"/>
      <c r="M35" s="425"/>
      <c r="N35" s="425"/>
      <c r="O35" s="425"/>
      <c r="P35" s="425"/>
      <c r="Q35" s="425"/>
      <c r="R35" s="425"/>
      <c r="S35" s="425"/>
      <c r="T35" s="425"/>
      <c r="U35" s="425"/>
      <c r="V35" s="425"/>
      <c r="W35" s="425"/>
      <c r="X35" s="425"/>
      <c r="Y35" s="425"/>
      <c r="Z35" s="425"/>
    </row>
    <row r="36" spans="1:26" ht="15" thickBot="1">
      <c r="A36" s="453">
        <v>4</v>
      </c>
      <c r="B36" s="450">
        <f t="shared" ref="B36:B40" si="17">$B$11*$B$13</f>
        <v>12</v>
      </c>
      <c r="C36" s="451">
        <f t="shared" ref="C36:C40" si="18">$B$13*B27</f>
        <v>6.4512000000000002E-9</v>
      </c>
      <c r="D36" s="456">
        <f t="shared" si="16"/>
        <v>6.4512</v>
      </c>
      <c r="E36" s="443">
        <f t="shared" ref="E36:E40" si="19">1/(C36*$B$12)</f>
        <v>17695.196419511485</v>
      </c>
      <c r="F36" s="451">
        <f t="shared" ref="F36:F40" si="20">E27*$B$13</f>
        <v>1.29024E-8</v>
      </c>
      <c r="G36" s="446">
        <f t="shared" ref="G36:G40" si="21">F36*$B$12*3600</f>
        <v>0.40689008640000002</v>
      </c>
      <c r="H36" s="452">
        <f t="shared" ref="H36:H40" si="22">F36/0.000001</f>
        <v>1.2902400000000001E-2</v>
      </c>
      <c r="I36" s="444">
        <f t="shared" ref="I36:I40" si="23">1-F36</f>
        <v>0.99999998709759996</v>
      </c>
      <c r="J36" s="425"/>
      <c r="K36" s="425"/>
      <c r="L36" s="425"/>
      <c r="M36" s="425"/>
      <c r="N36" s="425"/>
      <c r="O36" s="425"/>
      <c r="P36" s="425"/>
      <c r="Q36" s="425"/>
      <c r="R36" s="425"/>
      <c r="S36" s="425"/>
      <c r="T36" s="425"/>
      <c r="U36" s="425"/>
      <c r="V36" s="425"/>
      <c r="W36" s="425"/>
      <c r="X36" s="425"/>
      <c r="Y36" s="425"/>
      <c r="Z36" s="425"/>
    </row>
    <row r="37" spans="1:26" ht="15" thickBot="1">
      <c r="A37" s="449">
        <v>8</v>
      </c>
      <c r="B37" s="450">
        <f t="shared" si="17"/>
        <v>12</v>
      </c>
      <c r="C37" s="451">
        <f t="shared" si="18"/>
        <v>1.29024E-8</v>
      </c>
      <c r="D37" s="456">
        <f t="shared" si="16"/>
        <v>12.9024</v>
      </c>
      <c r="E37" s="443">
        <f t="shared" si="19"/>
        <v>8847.5982097557426</v>
      </c>
      <c r="F37" s="451">
        <f t="shared" si="20"/>
        <v>5.1609600000000002E-8</v>
      </c>
      <c r="G37" s="446">
        <f t="shared" si="21"/>
        <v>1.6275603456000001</v>
      </c>
      <c r="H37" s="452">
        <f t="shared" si="22"/>
        <v>5.1609600000000005E-2</v>
      </c>
      <c r="I37" s="444">
        <f t="shared" si="23"/>
        <v>0.99999994839039996</v>
      </c>
      <c r="J37" s="425"/>
      <c r="K37" s="425"/>
      <c r="L37" s="425"/>
      <c r="M37" s="425"/>
      <c r="N37" s="425"/>
      <c r="O37" s="425"/>
      <c r="P37" s="425"/>
      <c r="Q37" s="425"/>
      <c r="R37" s="425"/>
      <c r="S37" s="425"/>
      <c r="T37" s="425"/>
      <c r="U37" s="425"/>
      <c r="V37" s="425"/>
      <c r="W37" s="425"/>
      <c r="X37" s="425"/>
      <c r="Y37" s="425"/>
      <c r="Z37" s="425"/>
    </row>
    <row r="38" spans="1:26" ht="15" thickBot="1">
      <c r="A38" s="453">
        <v>12</v>
      </c>
      <c r="B38" s="450">
        <f t="shared" si="17"/>
        <v>12</v>
      </c>
      <c r="C38" s="451">
        <f t="shared" si="18"/>
        <v>1.9353599999999997E-8</v>
      </c>
      <c r="D38" s="456">
        <f t="shared" si="16"/>
        <v>19.353599999999997</v>
      </c>
      <c r="E38" s="443">
        <f t="shared" si="19"/>
        <v>5898.3988065038302</v>
      </c>
      <c r="F38" s="451">
        <f t="shared" si="20"/>
        <v>1.1612159999999999E-7</v>
      </c>
      <c r="G38" s="446">
        <f t="shared" si="21"/>
        <v>3.6620107775999995</v>
      </c>
      <c r="H38" s="452">
        <f t="shared" si="22"/>
        <v>0.11612159999999999</v>
      </c>
      <c r="I38" s="444">
        <f t="shared" si="23"/>
        <v>0.9999998838784</v>
      </c>
      <c r="J38" s="425"/>
      <c r="K38" s="425"/>
      <c r="L38" s="425"/>
      <c r="M38" s="425"/>
      <c r="N38" s="425"/>
      <c r="O38" s="425"/>
      <c r="P38" s="425"/>
      <c r="Q38" s="425"/>
      <c r="R38" s="425"/>
      <c r="S38" s="425"/>
      <c r="T38" s="425"/>
      <c r="U38" s="425"/>
      <c r="V38" s="425"/>
      <c r="W38" s="425"/>
      <c r="X38" s="425"/>
      <c r="Y38" s="425"/>
      <c r="Z38" s="425"/>
    </row>
    <row r="39" spans="1:26" ht="15" thickBot="1">
      <c r="A39" s="449">
        <v>24</v>
      </c>
      <c r="B39" s="450">
        <f t="shared" si="17"/>
        <v>12</v>
      </c>
      <c r="C39" s="451">
        <f t="shared" si="18"/>
        <v>3.8707199999999995E-8</v>
      </c>
      <c r="D39" s="456">
        <f t="shared" si="16"/>
        <v>38.707199999999993</v>
      </c>
      <c r="E39" s="443">
        <f t="shared" si="19"/>
        <v>2949.1994032519151</v>
      </c>
      <c r="F39" s="451">
        <f t="shared" si="20"/>
        <v>4.6448639999999996E-7</v>
      </c>
      <c r="G39" s="446">
        <f t="shared" si="21"/>
        <v>14.648043110399998</v>
      </c>
      <c r="H39" s="452">
        <f t="shared" si="22"/>
        <v>0.46448639999999997</v>
      </c>
      <c r="I39" s="444">
        <f t="shared" si="23"/>
        <v>0.99999953551359999</v>
      </c>
      <c r="J39" s="425"/>
      <c r="K39" s="425"/>
      <c r="L39" s="425"/>
      <c r="M39" s="425"/>
      <c r="N39" s="425"/>
      <c r="O39" s="425"/>
      <c r="P39" s="425"/>
      <c r="Q39" s="425"/>
      <c r="R39" s="425"/>
      <c r="S39" s="425"/>
      <c r="T39" s="425"/>
      <c r="U39" s="425"/>
      <c r="V39" s="425"/>
      <c r="W39" s="425"/>
      <c r="X39" s="425"/>
      <c r="Y39" s="425"/>
      <c r="Z39" s="425"/>
    </row>
    <row r="40" spans="1:26" ht="15" thickBot="1">
      <c r="A40" s="453">
        <v>72</v>
      </c>
      <c r="B40" s="450">
        <f t="shared" si="17"/>
        <v>12</v>
      </c>
      <c r="C40" s="451">
        <f t="shared" si="18"/>
        <v>1.161216E-7</v>
      </c>
      <c r="D40" s="456">
        <f t="shared" si="16"/>
        <v>116.1216</v>
      </c>
      <c r="E40" s="443">
        <f t="shared" si="19"/>
        <v>983.06646775063814</v>
      </c>
      <c r="F40" s="451">
        <f t="shared" si="20"/>
        <v>4.1803775999999999E-6</v>
      </c>
      <c r="G40" s="446">
        <f t="shared" si="21"/>
        <v>131.83238799360001</v>
      </c>
      <c r="H40" s="452">
        <f t="shared" si="22"/>
        <v>4.1803775999999999</v>
      </c>
      <c r="I40" s="444">
        <f t="shared" si="23"/>
        <v>0.99999581962240003</v>
      </c>
      <c r="J40" s="425"/>
      <c r="K40" s="425"/>
      <c r="L40" s="425"/>
      <c r="M40" s="425"/>
      <c r="N40" s="425"/>
      <c r="O40" s="425"/>
      <c r="P40" s="425"/>
      <c r="Q40" s="425"/>
      <c r="R40" s="425"/>
      <c r="S40" s="425"/>
      <c r="T40" s="425"/>
      <c r="U40" s="425"/>
      <c r="V40" s="425"/>
      <c r="W40" s="425"/>
      <c r="X40" s="425"/>
      <c r="Y40" s="425"/>
      <c r="Z40" s="425"/>
    </row>
    <row r="41" spans="1:26" ht="14.4">
      <c r="A41" s="425"/>
      <c r="B41" s="425"/>
      <c r="C41" s="425"/>
      <c r="D41" s="425"/>
      <c r="E41" s="425"/>
      <c r="F41" s="425"/>
      <c r="G41" s="425"/>
      <c r="H41" s="425"/>
      <c r="I41" s="425"/>
      <c r="J41" s="425"/>
      <c r="K41" s="425"/>
      <c r="L41" s="425"/>
      <c r="M41" s="425"/>
      <c r="N41" s="425"/>
      <c r="O41" s="425"/>
      <c r="P41" s="425"/>
      <c r="Q41" s="425"/>
      <c r="R41" s="425"/>
      <c r="S41" s="425"/>
      <c r="T41" s="425"/>
      <c r="U41" s="425"/>
      <c r="V41" s="425"/>
      <c r="W41" s="425"/>
      <c r="X41" s="425"/>
      <c r="Y41" s="425"/>
      <c r="Z41" s="425"/>
    </row>
    <row r="42" spans="1:26" ht="15" thickBot="1">
      <c r="A42" s="433" t="s">
        <v>890</v>
      </c>
      <c r="B42" s="425"/>
      <c r="C42" s="425"/>
      <c r="D42" s="425"/>
      <c r="E42" s="425"/>
      <c r="F42" s="425"/>
      <c r="G42" s="425"/>
      <c r="H42" s="425"/>
      <c r="I42" s="425"/>
      <c r="J42" s="425"/>
      <c r="K42" s="425"/>
      <c r="L42" s="425"/>
      <c r="M42" s="425"/>
      <c r="N42" s="425"/>
      <c r="O42" s="425"/>
      <c r="P42" s="425"/>
      <c r="Q42" s="425"/>
      <c r="R42" s="425"/>
      <c r="S42" s="425"/>
      <c r="T42" s="425"/>
      <c r="U42" s="425"/>
      <c r="V42" s="425"/>
      <c r="W42" s="425"/>
      <c r="X42" s="425"/>
      <c r="Y42" s="425"/>
      <c r="Z42" s="425"/>
    </row>
    <row r="43" spans="1:26" ht="15" thickBot="1">
      <c r="A43" s="447" t="s">
        <v>844</v>
      </c>
      <c r="B43" s="529" t="s">
        <v>887</v>
      </c>
      <c r="C43" s="529" t="s">
        <v>813</v>
      </c>
      <c r="D43" s="529" t="s">
        <v>810</v>
      </c>
      <c r="E43" s="529" t="s">
        <v>65</v>
      </c>
      <c r="F43" s="529" t="s">
        <v>77</v>
      </c>
      <c r="G43" s="529" t="s">
        <v>108</v>
      </c>
      <c r="H43" s="529" t="s">
        <v>888</v>
      </c>
      <c r="I43" s="529" t="s">
        <v>889</v>
      </c>
      <c r="K43" s="425"/>
      <c r="L43" s="425"/>
      <c r="M43" s="425"/>
      <c r="N43" s="425"/>
      <c r="O43" s="425"/>
      <c r="P43" s="425"/>
      <c r="Q43" s="425"/>
      <c r="R43" s="425"/>
      <c r="S43" s="425"/>
      <c r="T43" s="425"/>
      <c r="U43" s="425"/>
      <c r="V43" s="425"/>
      <c r="W43" s="425"/>
      <c r="X43" s="425"/>
      <c r="Y43" s="425"/>
      <c r="Z43" s="425"/>
    </row>
    <row r="44" spans="1:26" ht="15" thickBot="1">
      <c r="A44" s="526">
        <v>1</v>
      </c>
      <c r="B44" s="530">
        <f>2*($B$5*nano)^2*A44/nano</f>
        <v>0.18432000000000004</v>
      </c>
      <c r="C44" s="531">
        <f>1/(B44*nano)</f>
        <v>5425347222.2222214</v>
      </c>
      <c r="D44" s="531">
        <f>C44/hours_per_year</f>
        <v>619331.87468290201</v>
      </c>
      <c r="E44" s="532">
        <f>C44/(C44+A44)</f>
        <v>0.99999999981568</v>
      </c>
      <c r="F44" s="533">
        <f>1-E44</f>
        <v>1.8432000370438573E-10</v>
      </c>
      <c r="G44" s="534">
        <f>F44*hours_per_year</f>
        <v>1.614643232450419E-6</v>
      </c>
      <c r="H44" s="534">
        <f>F44*min_per_year</f>
        <v>9.6878593947025138E-5</v>
      </c>
      <c r="I44" s="534">
        <f>F44*secs_per_year</f>
        <v>5.8127156368215083E-3</v>
      </c>
      <c r="K44" s="425"/>
      <c r="L44" s="425"/>
      <c r="M44" s="425"/>
      <c r="N44" s="425"/>
      <c r="O44" s="425"/>
      <c r="P44" s="425"/>
      <c r="Q44" s="425"/>
      <c r="R44" s="425"/>
      <c r="S44" s="425"/>
      <c r="T44" s="425"/>
      <c r="U44" s="425"/>
      <c r="V44" s="425"/>
      <c r="W44" s="425"/>
      <c r="X44" s="425"/>
      <c r="Y44" s="425"/>
      <c r="Z44" s="425"/>
    </row>
    <row r="45" spans="1:26" ht="15" thickBot="1">
      <c r="A45" s="527">
        <v>4</v>
      </c>
      <c r="B45" s="530">
        <f>2*($B$5*nano)^2*A45/nano</f>
        <v>0.73728000000000016</v>
      </c>
      <c r="C45" s="531">
        <f>1/(B45*nano)</f>
        <v>1356336805.5555553</v>
      </c>
      <c r="D45" s="531">
        <f>C45/hours_per_year</f>
        <v>154832.9686707255</v>
      </c>
      <c r="E45" s="532">
        <f>C45/(C45+A45)</f>
        <v>0.99999999705088005</v>
      </c>
      <c r="F45" s="533">
        <f>1-E45</f>
        <v>2.9491199482478692E-9</v>
      </c>
      <c r="G45" s="534">
        <f>F45*hours_per_year</f>
        <v>2.5834290746651334E-5</v>
      </c>
      <c r="H45" s="534">
        <f>F45*min_per_year</f>
        <v>1.55005744479908E-3</v>
      </c>
      <c r="I45" s="534">
        <f>F45*secs_per_year</f>
        <v>9.3003446687944802E-2</v>
      </c>
      <c r="J45" s="425"/>
      <c r="K45" s="425"/>
      <c r="L45" s="425"/>
      <c r="M45" s="425"/>
      <c r="N45" s="425"/>
      <c r="O45" s="425"/>
      <c r="P45" s="425"/>
      <c r="Q45" s="425"/>
      <c r="R45" s="425"/>
      <c r="S45" s="425"/>
      <c r="T45" s="425"/>
      <c r="U45" s="425"/>
      <c r="V45" s="425"/>
      <c r="W45" s="425"/>
      <c r="X45" s="425"/>
      <c r="Y45" s="425"/>
      <c r="Z45" s="425"/>
    </row>
    <row r="46" spans="1:26" ht="15" thickBot="1">
      <c r="A46" s="528">
        <v>8</v>
      </c>
      <c r="B46" s="530">
        <f>2*($B$5*nano)^2*A46/nano</f>
        <v>1.4745600000000003</v>
      </c>
      <c r="C46" s="531">
        <f>1/(B46*nano)</f>
        <v>678168402.77777767</v>
      </c>
      <c r="D46" s="531">
        <f>C46/hours_per_year</f>
        <v>77416.484335362751</v>
      </c>
      <c r="E46" s="532">
        <f t="shared" ref="E46:E49" si="24">C46/(C46+A46)</f>
        <v>0.9999999882035201</v>
      </c>
      <c r="F46" s="533">
        <f t="shared" ref="F46:F49" si="25">1-E46</f>
        <v>1.1796479904013779E-8</v>
      </c>
      <c r="G46" s="534">
        <f>F46*hours_per_year</f>
        <v>1.033371639591607E-4</v>
      </c>
      <c r="H46" s="534">
        <f>F46*min_per_year</f>
        <v>6.2002298375496423E-3</v>
      </c>
      <c r="I46" s="534">
        <f>F46*secs_per_year</f>
        <v>0.37201379025297854</v>
      </c>
      <c r="J46" s="425"/>
      <c r="K46" s="425"/>
      <c r="L46" s="425"/>
      <c r="M46" s="425"/>
      <c r="N46" s="425"/>
      <c r="O46" s="425"/>
      <c r="P46" s="425"/>
      <c r="Q46" s="425"/>
      <c r="R46" s="425"/>
      <c r="S46" s="425"/>
      <c r="T46" s="425"/>
      <c r="U46" s="425"/>
      <c r="V46" s="425"/>
      <c r="W46" s="425"/>
      <c r="X46" s="425"/>
      <c r="Y46" s="425"/>
      <c r="Z46" s="425"/>
    </row>
    <row r="47" spans="1:26" ht="15" thickBot="1">
      <c r="A47" s="527">
        <v>12</v>
      </c>
      <c r="B47" s="530">
        <f>2*($B$5*nano)^2*A47/nano</f>
        <v>2.2118400000000005</v>
      </c>
      <c r="C47" s="531">
        <f>1/(B47*nano)</f>
        <v>452112268.51851839</v>
      </c>
      <c r="D47" s="531">
        <f>C47/hours_per_year</f>
        <v>51610.989556908491</v>
      </c>
      <c r="E47" s="532">
        <f t="shared" si="24"/>
        <v>0.99999997345792069</v>
      </c>
      <c r="F47" s="533">
        <f t="shared" si="25"/>
        <v>2.6542079312186218E-8</v>
      </c>
      <c r="G47" s="534">
        <f>F47*hours_per_year</f>
        <v>2.3250861477475127E-4</v>
      </c>
      <c r="H47" s="534">
        <f>F47*min_per_year</f>
        <v>1.3950516886485076E-2</v>
      </c>
      <c r="I47" s="534">
        <f>F47*secs_per_year</f>
        <v>0.83703101318910456</v>
      </c>
      <c r="J47" s="425"/>
      <c r="K47" s="425"/>
      <c r="L47" s="425"/>
      <c r="M47" s="425"/>
      <c r="N47" s="425"/>
      <c r="O47" s="425"/>
      <c r="P47" s="425"/>
      <c r="Q47" s="425"/>
      <c r="R47" s="425"/>
      <c r="S47" s="425"/>
      <c r="T47" s="425"/>
      <c r="U47" s="425"/>
      <c r="V47" s="425"/>
      <c r="W47" s="425"/>
      <c r="X47" s="425"/>
      <c r="Y47" s="425"/>
      <c r="Z47" s="425"/>
    </row>
    <row r="48" spans="1:26" ht="15" thickBot="1">
      <c r="A48" s="528">
        <v>24</v>
      </c>
      <c r="B48" s="530">
        <f>2*($B$5*nano)^2*A48/nano</f>
        <v>4.4236800000000009</v>
      </c>
      <c r="C48" s="531">
        <f>1/(B48*nano)</f>
        <v>226056134.25925919</v>
      </c>
      <c r="D48" s="531">
        <f>C48/hours_per_year</f>
        <v>25805.494778454246</v>
      </c>
      <c r="E48" s="532">
        <f t="shared" si="24"/>
        <v>0.9999998938316913</v>
      </c>
      <c r="F48" s="533">
        <f t="shared" si="25"/>
        <v>1.0616830870002758E-7</v>
      </c>
      <c r="G48" s="534">
        <f>F48*hours_per_year</f>
        <v>9.300343842122416E-4</v>
      </c>
      <c r="H48" s="534">
        <f>F48*min_per_year</f>
        <v>5.5802063052734496E-2</v>
      </c>
      <c r="I48" s="534">
        <f>F48*secs_per_year</f>
        <v>3.3481237831640698</v>
      </c>
      <c r="J48" s="425"/>
      <c r="K48" s="425"/>
      <c r="L48" s="425"/>
      <c r="M48" s="425"/>
      <c r="N48" s="425"/>
      <c r="O48" s="425"/>
      <c r="P48" s="425"/>
      <c r="Q48" s="425"/>
      <c r="R48" s="425"/>
      <c r="S48" s="425"/>
      <c r="T48" s="425"/>
      <c r="U48" s="425"/>
      <c r="V48" s="425"/>
      <c r="W48" s="425"/>
      <c r="X48" s="425"/>
      <c r="Y48" s="425"/>
      <c r="Z48" s="425"/>
    </row>
    <row r="49" spans="1:26" ht="15" thickBot="1">
      <c r="A49" s="527">
        <v>72</v>
      </c>
      <c r="B49" s="530">
        <f>2*($B$5*nano)^2*A49/nano</f>
        <v>13.271040000000003</v>
      </c>
      <c r="C49" s="531">
        <f>1/(B49*nano)</f>
        <v>75352044.753086403</v>
      </c>
      <c r="D49" s="531">
        <f>C49/hours_per_year</f>
        <v>8601.8315928180818</v>
      </c>
      <c r="E49" s="532">
        <f t="shared" si="24"/>
        <v>0.99999904448603305</v>
      </c>
      <c r="F49" s="533">
        <f t="shared" si="25"/>
        <v>9.5551396694926183E-7</v>
      </c>
      <c r="G49" s="534">
        <f>F49*hours_per_year</f>
        <v>8.3703023504755336E-3</v>
      </c>
      <c r="H49" s="534">
        <f>F49*min_per_year</f>
        <v>0.50221814102853202</v>
      </c>
      <c r="I49" s="534">
        <f>F49*secs_per_year</f>
        <v>30.133088461711921</v>
      </c>
      <c r="J49" s="425"/>
      <c r="K49" s="425"/>
      <c r="L49" s="425"/>
      <c r="M49" s="425"/>
      <c r="N49" s="425"/>
      <c r="O49" s="425"/>
      <c r="P49" s="425"/>
      <c r="Q49" s="425"/>
      <c r="R49" s="425"/>
      <c r="S49" s="425"/>
      <c r="T49" s="425"/>
      <c r="U49" s="425"/>
      <c r="V49" s="425"/>
      <c r="W49" s="425"/>
      <c r="X49" s="425"/>
      <c r="Y49" s="425"/>
      <c r="Z49" s="425"/>
    </row>
    <row r="50" spans="1:26" ht="14.4">
      <c r="A50" s="425"/>
      <c r="B50" s="425"/>
      <c r="C50" s="425"/>
      <c r="D50" s="425"/>
      <c r="E50" s="425"/>
      <c r="F50" s="425"/>
      <c r="G50" s="425"/>
      <c r="H50" s="425"/>
      <c r="I50" s="425"/>
      <c r="J50" s="425"/>
      <c r="K50" s="425"/>
      <c r="L50" s="425"/>
      <c r="M50" s="425"/>
      <c r="N50" s="425"/>
      <c r="O50" s="425"/>
      <c r="P50" s="425"/>
      <c r="Q50" s="425"/>
      <c r="R50" s="425"/>
      <c r="S50" s="425"/>
      <c r="T50" s="425"/>
      <c r="U50" s="425"/>
      <c r="V50" s="425"/>
      <c r="W50" s="425"/>
      <c r="X50" s="425"/>
      <c r="Y50" s="425"/>
      <c r="Z50" s="425"/>
    </row>
    <row r="51" spans="1:26" ht="14.4">
      <c r="A51" s="425"/>
      <c r="B51" s="425"/>
      <c r="C51" s="425"/>
      <c r="D51" s="425"/>
      <c r="E51" s="425"/>
      <c r="F51" s="425"/>
      <c r="G51" s="425"/>
      <c r="H51" s="425"/>
      <c r="I51" s="425"/>
      <c r="J51" s="425"/>
      <c r="K51" s="425"/>
      <c r="L51" s="425"/>
      <c r="M51" s="425"/>
      <c r="N51" s="425"/>
      <c r="O51" s="425"/>
      <c r="P51" s="425"/>
      <c r="Q51" s="425"/>
      <c r="R51" s="425"/>
      <c r="S51" s="425"/>
      <c r="T51" s="425"/>
      <c r="U51" s="425"/>
      <c r="V51" s="425"/>
      <c r="W51" s="425"/>
      <c r="X51" s="425"/>
      <c r="Y51" s="425"/>
      <c r="Z51" s="425"/>
    </row>
    <row r="52" spans="1:26" ht="14.4">
      <c r="A52" s="425"/>
      <c r="B52" s="425"/>
      <c r="C52" s="425"/>
      <c r="D52" s="425"/>
      <c r="E52" s="425"/>
      <c r="F52" s="425"/>
      <c r="G52" s="425"/>
      <c r="H52" s="425"/>
      <c r="I52" s="425"/>
      <c r="J52" s="425"/>
      <c r="K52" s="425"/>
      <c r="L52" s="425"/>
      <c r="M52" s="425"/>
      <c r="N52" s="425"/>
      <c r="O52" s="425"/>
      <c r="P52" s="425"/>
      <c r="Q52" s="425"/>
      <c r="R52" s="425"/>
      <c r="S52" s="425"/>
      <c r="T52" s="425"/>
      <c r="U52" s="425"/>
      <c r="V52" s="425"/>
      <c r="W52" s="425"/>
      <c r="X52" s="425"/>
      <c r="Y52" s="425"/>
      <c r="Z52" s="425"/>
    </row>
    <row r="53" spans="1:26" ht="14.4">
      <c r="A53" s="425"/>
      <c r="B53" s="425"/>
      <c r="C53" s="425"/>
      <c r="D53" s="425"/>
      <c r="E53" s="425"/>
      <c r="F53" s="425"/>
      <c r="G53" s="425"/>
      <c r="H53" s="425"/>
      <c r="I53" s="425"/>
      <c r="J53" s="425"/>
      <c r="K53" s="425"/>
      <c r="L53" s="425"/>
      <c r="M53" s="425"/>
      <c r="N53" s="425"/>
      <c r="O53" s="425"/>
      <c r="P53" s="425"/>
      <c r="Q53" s="425"/>
      <c r="R53" s="425"/>
      <c r="S53" s="425"/>
      <c r="T53" s="425"/>
      <c r="U53" s="425"/>
      <c r="V53" s="425"/>
      <c r="W53" s="425"/>
      <c r="X53" s="425"/>
      <c r="Y53" s="425"/>
      <c r="Z53" s="425"/>
    </row>
    <row r="54" spans="1:26" ht="14.4">
      <c r="A54" s="425"/>
      <c r="B54" s="425"/>
      <c r="C54" s="425"/>
      <c r="D54" s="425"/>
      <c r="E54" s="425"/>
      <c r="F54" s="425"/>
      <c r="G54" s="425"/>
      <c r="H54" s="425"/>
      <c r="I54" s="425"/>
      <c r="J54" s="425"/>
      <c r="K54" s="425"/>
      <c r="L54" s="425"/>
      <c r="M54" s="425"/>
      <c r="N54" s="425"/>
      <c r="O54" s="425"/>
      <c r="P54" s="425"/>
      <c r="Q54" s="425"/>
      <c r="R54" s="425"/>
      <c r="S54" s="425"/>
      <c r="T54" s="425"/>
      <c r="U54" s="425"/>
      <c r="V54" s="425"/>
      <c r="W54" s="425"/>
      <c r="X54" s="425"/>
      <c r="Y54" s="425"/>
      <c r="Z54" s="425"/>
    </row>
    <row r="55" spans="1:26" ht="14.4">
      <c r="A55" s="425"/>
      <c r="B55" s="425"/>
      <c r="C55" s="425"/>
      <c r="D55" s="425"/>
      <c r="E55" s="425"/>
      <c r="F55" s="425"/>
      <c r="G55" s="425"/>
      <c r="H55" s="425"/>
      <c r="I55" s="425"/>
      <c r="J55" s="425"/>
      <c r="K55" s="425"/>
      <c r="L55" s="425"/>
      <c r="M55" s="425"/>
      <c r="N55" s="425"/>
      <c r="O55" s="425"/>
      <c r="P55" s="425"/>
      <c r="Q55" s="425"/>
      <c r="R55" s="425"/>
      <c r="S55" s="425"/>
      <c r="T55" s="425"/>
      <c r="U55" s="425"/>
      <c r="V55" s="425"/>
      <c r="W55" s="425"/>
      <c r="X55" s="425"/>
      <c r="Y55" s="425"/>
      <c r="Z55" s="425"/>
    </row>
    <row r="56" spans="1:26" ht="14.4">
      <c r="A56" s="425"/>
      <c r="B56" s="425"/>
      <c r="C56" s="425"/>
      <c r="D56" s="425"/>
      <c r="E56" s="425"/>
      <c r="F56" s="425"/>
      <c r="G56" s="425"/>
      <c r="H56" s="425"/>
      <c r="I56" s="425"/>
      <c r="J56" s="425"/>
      <c r="K56" s="425"/>
      <c r="L56" s="425"/>
      <c r="M56" s="425"/>
      <c r="N56" s="425"/>
      <c r="O56" s="425"/>
      <c r="P56" s="425"/>
      <c r="Q56" s="425"/>
      <c r="R56" s="425"/>
      <c r="S56" s="425"/>
      <c r="T56" s="425"/>
      <c r="U56" s="425"/>
      <c r="V56" s="425"/>
      <c r="W56" s="425"/>
      <c r="X56" s="425"/>
      <c r="Y56" s="425"/>
      <c r="Z56" s="425"/>
    </row>
    <row r="57" spans="1:26" ht="14.4">
      <c r="A57" s="425"/>
      <c r="B57" s="425"/>
      <c r="C57" s="425"/>
      <c r="D57" s="425"/>
      <c r="E57" s="425"/>
      <c r="F57" s="425"/>
      <c r="G57" s="425"/>
      <c r="H57" s="425"/>
      <c r="I57" s="425"/>
      <c r="J57" s="425"/>
      <c r="K57" s="425"/>
      <c r="L57" s="425"/>
      <c r="M57" s="425"/>
      <c r="N57" s="425"/>
      <c r="O57" s="425"/>
      <c r="P57" s="425"/>
      <c r="Q57" s="425"/>
      <c r="R57" s="425"/>
      <c r="S57" s="425"/>
      <c r="T57" s="425"/>
      <c r="U57" s="425"/>
      <c r="V57" s="425"/>
      <c r="W57" s="425"/>
      <c r="X57" s="425"/>
      <c r="Y57" s="425"/>
      <c r="Z57" s="425"/>
    </row>
    <row r="58" spans="1:26" ht="14.4">
      <c r="A58" s="425"/>
      <c r="B58" s="425"/>
      <c r="C58" s="425"/>
      <c r="D58" s="425"/>
      <c r="E58" s="425"/>
      <c r="F58" s="425"/>
      <c r="G58" s="425"/>
      <c r="H58" s="425"/>
      <c r="I58" s="425"/>
      <c r="J58" s="425"/>
      <c r="K58" s="425"/>
      <c r="L58" s="425"/>
      <c r="M58" s="425"/>
      <c r="N58" s="425"/>
      <c r="O58" s="425"/>
      <c r="P58" s="425"/>
      <c r="Q58" s="425"/>
      <c r="R58" s="425"/>
      <c r="S58" s="425"/>
      <c r="T58" s="425"/>
      <c r="U58" s="425"/>
      <c r="V58" s="425"/>
      <c r="W58" s="425"/>
      <c r="X58" s="425"/>
      <c r="Y58" s="425"/>
      <c r="Z58" s="425"/>
    </row>
    <row r="59" spans="1:26" ht="14.4">
      <c r="A59" s="425"/>
      <c r="B59" s="425"/>
      <c r="C59" s="425"/>
      <c r="D59" s="425"/>
      <c r="E59" s="425"/>
      <c r="F59" s="425"/>
      <c r="G59" s="425"/>
      <c r="H59" s="425"/>
      <c r="I59" s="425"/>
      <c r="J59" s="425"/>
      <c r="K59" s="425"/>
      <c r="L59" s="425"/>
      <c r="M59" s="425"/>
      <c r="N59" s="425"/>
      <c r="O59" s="425"/>
      <c r="P59" s="425"/>
      <c r="Q59" s="425"/>
      <c r="R59" s="425"/>
      <c r="S59" s="425"/>
      <c r="T59" s="425"/>
      <c r="U59" s="425"/>
      <c r="V59" s="425"/>
      <c r="W59" s="425"/>
      <c r="X59" s="425"/>
      <c r="Y59" s="425"/>
      <c r="Z59" s="425"/>
    </row>
    <row r="60" spans="1:26" ht="14.4">
      <c r="A60" s="427" t="s">
        <v>861</v>
      </c>
      <c r="B60" s="425"/>
      <c r="C60" s="425"/>
      <c r="D60" s="425"/>
      <c r="E60" s="425"/>
      <c r="F60" s="425"/>
      <c r="G60" s="425"/>
      <c r="H60" s="425"/>
      <c r="I60" s="425"/>
      <c r="J60" s="425"/>
      <c r="K60" s="425"/>
      <c r="L60" s="425"/>
      <c r="M60" s="425"/>
      <c r="N60" s="425"/>
      <c r="O60" s="425"/>
      <c r="P60" s="425"/>
      <c r="Q60" s="425"/>
      <c r="R60" s="425"/>
      <c r="S60" s="425"/>
      <c r="T60" s="425"/>
      <c r="U60" s="425"/>
      <c r="V60" s="425"/>
      <c r="W60" s="425"/>
      <c r="X60" s="425"/>
      <c r="Y60" s="425"/>
      <c r="Z60" s="425"/>
    </row>
    <row r="61" spans="1:26" ht="14.4">
      <c r="A61" s="439" t="s">
        <v>862</v>
      </c>
      <c r="B61" s="425"/>
      <c r="C61" s="425"/>
      <c r="D61" s="425"/>
      <c r="E61" s="425"/>
      <c r="F61" s="425"/>
      <c r="G61" s="425"/>
      <c r="H61" s="425"/>
      <c r="I61" s="425"/>
      <c r="J61" s="425"/>
      <c r="K61" s="425"/>
      <c r="L61" s="425"/>
      <c r="M61" s="425"/>
      <c r="N61" s="425"/>
      <c r="O61" s="425"/>
      <c r="P61" s="425"/>
      <c r="Q61" s="425"/>
      <c r="R61" s="425"/>
      <c r="S61" s="425"/>
      <c r="T61" s="425"/>
      <c r="U61" s="425"/>
      <c r="V61" s="425"/>
      <c r="W61" s="425"/>
      <c r="X61" s="425"/>
      <c r="Y61" s="425"/>
      <c r="Z61" s="425"/>
    </row>
    <row r="62" spans="1:26" ht="14.4">
      <c r="A62" s="439" t="s">
        <v>863</v>
      </c>
      <c r="B62" s="425"/>
      <c r="C62" s="425"/>
      <c r="D62" s="425"/>
      <c r="E62" s="425"/>
      <c r="F62" s="425"/>
      <c r="G62" s="425"/>
      <c r="H62" s="425"/>
      <c r="I62" s="425"/>
      <c r="J62" s="425"/>
      <c r="K62" s="425"/>
      <c r="L62" s="425"/>
      <c r="M62" s="425"/>
      <c r="N62" s="425"/>
      <c r="O62" s="425"/>
      <c r="P62" s="425"/>
      <c r="Q62" s="425"/>
      <c r="R62" s="425"/>
      <c r="S62" s="425"/>
      <c r="T62" s="425"/>
      <c r="U62" s="425"/>
      <c r="V62" s="425"/>
      <c r="W62" s="425"/>
      <c r="X62" s="425"/>
      <c r="Y62" s="425"/>
      <c r="Z62" s="425"/>
    </row>
    <row r="63" spans="1:26" ht="14.4">
      <c r="A63" s="439" t="s">
        <v>864</v>
      </c>
      <c r="B63" s="425"/>
      <c r="C63" s="425"/>
      <c r="D63" s="425"/>
      <c r="E63" s="425"/>
      <c r="F63" s="425"/>
      <c r="G63" s="425"/>
      <c r="H63" s="425"/>
      <c r="I63" s="425"/>
      <c r="J63" s="425"/>
      <c r="K63" s="425"/>
      <c r="L63" s="425"/>
      <c r="M63" s="425"/>
      <c r="N63" s="425"/>
      <c r="O63" s="425"/>
      <c r="P63" s="425"/>
      <c r="Q63" s="425"/>
      <c r="R63" s="425"/>
      <c r="S63" s="425"/>
      <c r="T63" s="425"/>
      <c r="U63" s="425"/>
      <c r="V63" s="425"/>
      <c r="W63" s="425"/>
      <c r="X63" s="425"/>
      <c r="Y63" s="425"/>
      <c r="Z63" s="425"/>
    </row>
    <row r="64" spans="1:26" ht="14.4">
      <c r="A64" s="439" t="s">
        <v>865</v>
      </c>
      <c r="B64" s="425"/>
      <c r="C64" s="425"/>
      <c r="D64" s="425"/>
      <c r="E64" s="425"/>
      <c r="F64" s="425"/>
      <c r="G64" s="425"/>
      <c r="H64" s="425"/>
      <c r="I64" s="425"/>
      <c r="J64" s="425"/>
      <c r="K64" s="425"/>
      <c r="L64" s="425"/>
      <c r="M64" s="425"/>
      <c r="N64" s="425"/>
      <c r="O64" s="425"/>
      <c r="P64" s="425"/>
      <c r="Q64" s="425"/>
      <c r="R64" s="425"/>
      <c r="S64" s="425"/>
      <c r="T64" s="425"/>
      <c r="U64" s="425"/>
      <c r="V64" s="425"/>
      <c r="W64" s="425"/>
      <c r="X64" s="425"/>
      <c r="Y64" s="425"/>
      <c r="Z64" s="425"/>
    </row>
    <row r="65" spans="1:26" ht="14.4">
      <c r="A65" s="439" t="s">
        <v>866</v>
      </c>
      <c r="B65" s="425"/>
      <c r="C65" s="425"/>
      <c r="D65" s="425"/>
      <c r="E65" s="425"/>
      <c r="F65" s="425"/>
      <c r="G65" s="425"/>
      <c r="H65" s="425"/>
      <c r="I65" s="425"/>
      <c r="J65" s="425"/>
      <c r="K65" s="425"/>
      <c r="L65" s="425"/>
      <c r="M65" s="425"/>
      <c r="N65" s="425"/>
      <c r="O65" s="425"/>
      <c r="P65" s="425"/>
      <c r="Q65" s="425"/>
      <c r="R65" s="425"/>
      <c r="S65" s="425"/>
      <c r="T65" s="425"/>
      <c r="U65" s="425"/>
      <c r="V65" s="425"/>
      <c r="W65" s="425"/>
      <c r="X65" s="425"/>
      <c r="Y65" s="425"/>
      <c r="Z65" s="425"/>
    </row>
    <row r="66" spans="1:26" ht="14.4">
      <c r="A66" s="439" t="s">
        <v>867</v>
      </c>
      <c r="B66" s="425"/>
      <c r="C66" s="425"/>
      <c r="D66" s="425"/>
      <c r="E66" s="425"/>
      <c r="F66" s="425"/>
      <c r="G66" s="425"/>
      <c r="H66" s="425"/>
      <c r="I66" s="425"/>
      <c r="J66" s="425"/>
      <c r="K66" s="425"/>
      <c r="L66" s="425"/>
      <c r="M66" s="425"/>
      <c r="N66" s="425"/>
      <c r="O66" s="425"/>
      <c r="P66" s="425"/>
      <c r="Q66" s="425"/>
      <c r="R66" s="425"/>
      <c r="S66" s="425"/>
      <c r="T66" s="425"/>
      <c r="U66" s="425"/>
      <c r="V66" s="425"/>
      <c r="W66" s="425"/>
      <c r="X66" s="425"/>
      <c r="Y66" s="425"/>
      <c r="Z66" s="425"/>
    </row>
    <row r="67" spans="1:26" ht="14.4">
      <c r="A67" s="439" t="s">
        <v>868</v>
      </c>
      <c r="B67" s="425"/>
      <c r="C67" s="425"/>
      <c r="D67" s="425"/>
      <c r="E67" s="425"/>
      <c r="F67" s="425"/>
      <c r="G67" s="425"/>
      <c r="H67" s="425"/>
      <c r="I67" s="425"/>
      <c r="J67" s="425"/>
      <c r="K67" s="425"/>
      <c r="L67" s="425"/>
      <c r="M67" s="425"/>
      <c r="N67" s="425"/>
      <c r="O67" s="425"/>
      <c r="P67" s="425"/>
      <c r="Q67" s="425"/>
      <c r="R67" s="425"/>
      <c r="S67" s="425"/>
      <c r="T67" s="425"/>
      <c r="U67" s="425"/>
      <c r="V67" s="425"/>
      <c r="W67" s="425"/>
      <c r="X67" s="425"/>
      <c r="Y67" s="425"/>
      <c r="Z67" s="425"/>
    </row>
    <row r="68" spans="1:26" ht="14.4">
      <c r="A68" s="425"/>
      <c r="B68" s="425"/>
      <c r="C68" s="425"/>
      <c r="D68" s="425"/>
      <c r="E68" s="425"/>
      <c r="F68" s="425"/>
      <c r="G68" s="425"/>
      <c r="H68" s="425"/>
      <c r="I68" s="425"/>
      <c r="J68" s="425"/>
      <c r="K68" s="425"/>
      <c r="L68" s="425"/>
      <c r="M68" s="425"/>
      <c r="N68" s="425"/>
      <c r="O68" s="425"/>
      <c r="P68" s="425"/>
      <c r="Q68" s="425"/>
      <c r="R68" s="425"/>
      <c r="S68" s="425"/>
      <c r="T68" s="425"/>
      <c r="U68" s="425"/>
      <c r="V68" s="425"/>
      <c r="W68" s="425"/>
      <c r="X68" s="425"/>
      <c r="Y68" s="425"/>
      <c r="Z68" s="425"/>
    </row>
    <row r="69" spans="1:26" ht="14.4">
      <c r="A69" s="425"/>
      <c r="B69" s="425"/>
      <c r="C69" s="425"/>
      <c r="D69" s="425"/>
      <c r="E69" s="425"/>
      <c r="F69" s="425"/>
      <c r="G69" s="425"/>
      <c r="H69" s="425"/>
      <c r="I69" s="425"/>
      <c r="J69" s="425"/>
      <c r="K69" s="425"/>
      <c r="L69" s="425"/>
      <c r="M69" s="425"/>
      <c r="N69" s="425"/>
      <c r="O69" s="425"/>
      <c r="P69" s="425"/>
      <c r="Q69" s="425"/>
      <c r="R69" s="425"/>
      <c r="S69" s="425"/>
      <c r="T69" s="425"/>
      <c r="U69" s="425"/>
      <c r="V69" s="425"/>
      <c r="W69" s="425"/>
      <c r="X69" s="425"/>
      <c r="Y69" s="425"/>
      <c r="Z69" s="425"/>
    </row>
    <row r="70" spans="1:26" ht="14.4">
      <c r="A70" s="425"/>
      <c r="B70" s="425"/>
      <c r="C70" s="425"/>
      <c r="D70" s="425"/>
      <c r="E70" s="425"/>
      <c r="F70" s="425"/>
      <c r="G70" s="425"/>
      <c r="H70" s="425"/>
      <c r="I70" s="425"/>
      <c r="J70" s="425"/>
      <c r="K70" s="425"/>
      <c r="L70" s="425"/>
      <c r="M70" s="425"/>
      <c r="N70" s="425"/>
      <c r="O70" s="425"/>
      <c r="P70" s="425"/>
      <c r="Q70" s="425"/>
      <c r="R70" s="425"/>
      <c r="S70" s="425"/>
      <c r="T70" s="425"/>
      <c r="U70" s="425"/>
      <c r="V70" s="425"/>
      <c r="W70" s="425"/>
      <c r="X70" s="425"/>
      <c r="Y70" s="425"/>
      <c r="Z70" s="425"/>
    </row>
    <row r="71" spans="1:26" ht="14.4">
      <c r="A71" s="425"/>
      <c r="B71" s="425"/>
      <c r="C71" s="425"/>
      <c r="D71" s="425"/>
      <c r="E71" s="425"/>
      <c r="F71" s="425"/>
      <c r="G71" s="425"/>
      <c r="H71" s="425"/>
      <c r="I71" s="425"/>
      <c r="J71" s="425"/>
      <c r="K71" s="425"/>
      <c r="L71" s="425"/>
      <c r="M71" s="425"/>
      <c r="N71" s="425"/>
      <c r="O71" s="425"/>
      <c r="P71" s="425"/>
      <c r="Q71" s="425"/>
      <c r="R71" s="425"/>
      <c r="S71" s="425"/>
      <c r="T71" s="425"/>
      <c r="U71" s="425"/>
      <c r="V71" s="425"/>
      <c r="W71" s="425"/>
      <c r="X71" s="425"/>
      <c r="Y71" s="425"/>
      <c r="Z71" s="425"/>
    </row>
    <row r="72" spans="1:26" ht="14.4">
      <c r="A72" s="425"/>
      <c r="B72" s="425"/>
      <c r="C72" s="425"/>
      <c r="D72" s="425"/>
      <c r="E72" s="425"/>
      <c r="F72" s="425"/>
      <c r="G72" s="425"/>
      <c r="H72" s="425"/>
      <c r="I72" s="425"/>
      <c r="J72" s="425"/>
      <c r="K72" s="425"/>
      <c r="L72" s="425"/>
      <c r="M72" s="425"/>
      <c r="N72" s="425"/>
      <c r="O72" s="425"/>
      <c r="P72" s="425"/>
      <c r="Q72" s="425"/>
      <c r="R72" s="425"/>
      <c r="S72" s="425"/>
      <c r="T72" s="425"/>
      <c r="U72" s="425"/>
      <c r="V72" s="425"/>
      <c r="W72" s="425"/>
      <c r="X72" s="425"/>
      <c r="Y72" s="425"/>
      <c r="Z72" s="425"/>
    </row>
    <row r="73" spans="1:26" ht="14.4">
      <c r="A73" s="425"/>
      <c r="B73" s="425"/>
      <c r="C73" s="425"/>
      <c r="D73" s="425"/>
      <c r="E73" s="425"/>
      <c r="F73" s="425"/>
      <c r="G73" s="425"/>
      <c r="H73" s="425"/>
      <c r="I73" s="425"/>
      <c r="J73" s="425"/>
      <c r="K73" s="425"/>
      <c r="L73" s="425"/>
      <c r="M73" s="425"/>
      <c r="N73" s="425"/>
      <c r="O73" s="425"/>
      <c r="P73" s="425"/>
      <c r="Q73" s="425"/>
      <c r="R73" s="425"/>
      <c r="S73" s="425"/>
      <c r="T73" s="425"/>
      <c r="U73" s="425"/>
      <c r="V73" s="425"/>
      <c r="W73" s="425"/>
      <c r="X73" s="425"/>
      <c r="Y73" s="425"/>
      <c r="Z73" s="425"/>
    </row>
    <row r="74" spans="1:26" ht="14.4">
      <c r="A74" s="425"/>
      <c r="B74" s="425"/>
      <c r="C74" s="425"/>
      <c r="D74" s="425"/>
      <c r="E74" s="425"/>
      <c r="F74" s="425"/>
      <c r="G74" s="425"/>
      <c r="H74" s="425"/>
      <c r="I74" s="425"/>
      <c r="J74" s="425"/>
      <c r="K74" s="425"/>
      <c r="L74" s="425"/>
      <c r="M74" s="425"/>
      <c r="N74" s="425"/>
      <c r="O74" s="425"/>
      <c r="P74" s="425"/>
      <c r="Q74" s="425"/>
      <c r="R74" s="425"/>
      <c r="S74" s="425"/>
      <c r="T74" s="425"/>
      <c r="U74" s="425"/>
      <c r="V74" s="425"/>
      <c r="W74" s="425"/>
      <c r="X74" s="425"/>
      <c r="Y74" s="425"/>
      <c r="Z74" s="425"/>
    </row>
    <row r="75" spans="1:26" ht="14.4">
      <c r="A75" s="425"/>
      <c r="B75" s="425"/>
      <c r="C75" s="425"/>
      <c r="D75" s="425"/>
      <c r="E75" s="425"/>
      <c r="F75" s="425"/>
      <c r="G75" s="425"/>
      <c r="H75" s="425"/>
      <c r="I75" s="425"/>
      <c r="J75" s="425"/>
      <c r="K75" s="425"/>
      <c r="L75" s="425"/>
      <c r="M75" s="425"/>
      <c r="N75" s="425"/>
      <c r="O75" s="425"/>
      <c r="P75" s="425"/>
      <c r="Q75" s="425"/>
      <c r="R75" s="425"/>
      <c r="S75" s="425"/>
      <c r="T75" s="425"/>
      <c r="U75" s="425"/>
      <c r="V75" s="425"/>
      <c r="W75" s="425"/>
      <c r="X75" s="425"/>
      <c r="Y75" s="425"/>
      <c r="Z75" s="425"/>
    </row>
    <row r="76" spans="1:26" ht="14.4">
      <c r="A76" s="425"/>
      <c r="B76" s="425"/>
      <c r="C76" s="425"/>
      <c r="D76" s="425"/>
      <c r="E76" s="425"/>
      <c r="F76" s="425"/>
      <c r="G76" s="425"/>
      <c r="H76" s="425"/>
      <c r="I76" s="425"/>
      <c r="J76" s="425"/>
      <c r="K76" s="425"/>
      <c r="L76" s="425"/>
      <c r="M76" s="425"/>
      <c r="N76" s="425"/>
      <c r="O76" s="425"/>
      <c r="P76" s="425"/>
      <c r="Q76" s="425"/>
      <c r="R76" s="425"/>
      <c r="S76" s="425"/>
      <c r="T76" s="425"/>
      <c r="U76" s="425"/>
      <c r="V76" s="425"/>
      <c r="W76" s="425"/>
      <c r="X76" s="425"/>
      <c r="Y76" s="425"/>
      <c r="Z76" s="425"/>
    </row>
    <row r="77" spans="1:26" ht="14.4">
      <c r="A77" s="425"/>
      <c r="B77" s="425"/>
      <c r="C77" s="425"/>
      <c r="D77" s="425"/>
      <c r="E77" s="425"/>
      <c r="F77" s="425"/>
      <c r="G77" s="425"/>
      <c r="H77" s="425"/>
      <c r="I77" s="425"/>
      <c r="J77" s="425"/>
      <c r="K77" s="425"/>
      <c r="L77" s="425"/>
      <c r="M77" s="425"/>
      <c r="N77" s="425"/>
      <c r="O77" s="425"/>
      <c r="P77" s="425"/>
      <c r="Q77" s="425"/>
      <c r="R77" s="425"/>
      <c r="S77" s="425"/>
      <c r="T77" s="425"/>
      <c r="U77" s="425"/>
      <c r="V77" s="425"/>
      <c r="W77" s="425"/>
      <c r="X77" s="425"/>
      <c r="Y77" s="425"/>
      <c r="Z77" s="425"/>
    </row>
    <row r="78" spans="1:26" ht="14.4">
      <c r="A78" s="425"/>
      <c r="B78" s="425"/>
      <c r="C78" s="425"/>
      <c r="D78" s="425"/>
      <c r="E78" s="425"/>
      <c r="F78" s="425"/>
      <c r="G78" s="425"/>
      <c r="H78" s="425"/>
      <c r="I78" s="425"/>
      <c r="J78" s="425"/>
      <c r="K78" s="425"/>
      <c r="L78" s="425"/>
      <c r="M78" s="425"/>
      <c r="N78" s="425"/>
      <c r="O78" s="425"/>
      <c r="P78" s="425"/>
      <c r="Q78" s="425"/>
      <c r="R78" s="425"/>
      <c r="S78" s="425"/>
      <c r="T78" s="425"/>
      <c r="U78" s="425"/>
      <c r="V78" s="425"/>
      <c r="W78" s="425"/>
      <c r="X78" s="425"/>
      <c r="Y78" s="425"/>
      <c r="Z78" s="425"/>
    </row>
    <row r="79" spans="1:26" ht="14.4">
      <c r="A79" s="425"/>
      <c r="B79" s="425"/>
      <c r="C79" s="425"/>
      <c r="D79" s="425"/>
      <c r="E79" s="425"/>
      <c r="F79" s="425"/>
      <c r="G79" s="425"/>
      <c r="H79" s="425"/>
      <c r="I79" s="425"/>
      <c r="J79" s="425"/>
      <c r="K79" s="425"/>
      <c r="L79" s="425"/>
      <c r="M79" s="425"/>
      <c r="N79" s="425"/>
      <c r="O79" s="425"/>
      <c r="P79" s="425"/>
      <c r="Q79" s="425"/>
      <c r="R79" s="425"/>
      <c r="S79" s="425"/>
      <c r="T79" s="425"/>
      <c r="U79" s="425"/>
      <c r="V79" s="425"/>
      <c r="W79" s="425"/>
      <c r="X79" s="425"/>
      <c r="Y79" s="425"/>
      <c r="Z79" s="425"/>
    </row>
    <row r="80" spans="1:26" ht="14.4">
      <c r="A80" s="425"/>
      <c r="B80" s="425"/>
      <c r="C80" s="425"/>
      <c r="D80" s="425"/>
      <c r="E80" s="425"/>
      <c r="F80" s="425"/>
      <c r="G80" s="425"/>
      <c r="H80" s="425"/>
      <c r="I80" s="425"/>
      <c r="J80" s="425"/>
      <c r="K80" s="425"/>
      <c r="L80" s="425"/>
      <c r="M80" s="425"/>
      <c r="N80" s="425"/>
      <c r="O80" s="425"/>
      <c r="P80" s="425"/>
      <c r="Q80" s="425"/>
      <c r="R80" s="425"/>
      <c r="S80" s="425"/>
      <c r="T80" s="425"/>
      <c r="U80" s="425"/>
      <c r="V80" s="425"/>
      <c r="W80" s="425"/>
      <c r="X80" s="425"/>
      <c r="Y80" s="425"/>
      <c r="Z80" s="425"/>
    </row>
    <row r="81" spans="1:26" ht="14.4">
      <c r="A81" s="425"/>
      <c r="B81" s="425"/>
      <c r="C81" s="425"/>
      <c r="D81" s="425"/>
      <c r="E81" s="425"/>
      <c r="F81" s="425"/>
      <c r="G81" s="425"/>
      <c r="H81" s="425"/>
      <c r="I81" s="425"/>
      <c r="J81" s="425"/>
      <c r="K81" s="425"/>
      <c r="L81" s="425"/>
      <c r="M81" s="425"/>
      <c r="N81" s="425"/>
      <c r="O81" s="425"/>
      <c r="P81" s="425"/>
      <c r="Q81" s="425"/>
      <c r="R81" s="425"/>
      <c r="S81" s="425"/>
      <c r="T81" s="425"/>
      <c r="U81" s="425"/>
      <c r="V81" s="425"/>
      <c r="W81" s="425"/>
      <c r="X81" s="425"/>
      <c r="Y81" s="425"/>
      <c r="Z81" s="425"/>
    </row>
    <row r="82" spans="1:26" ht="14.4">
      <c r="A82" s="425"/>
      <c r="B82" s="425"/>
      <c r="C82" s="425"/>
      <c r="D82" s="425"/>
      <c r="E82" s="425"/>
      <c r="F82" s="425"/>
      <c r="G82" s="425"/>
      <c r="H82" s="425"/>
      <c r="I82" s="425"/>
      <c r="J82" s="425"/>
      <c r="K82" s="425"/>
      <c r="L82" s="425"/>
      <c r="M82" s="425"/>
      <c r="N82" s="425"/>
      <c r="O82" s="425"/>
      <c r="P82" s="425"/>
      <c r="Q82" s="425"/>
      <c r="R82" s="425"/>
      <c r="S82" s="425"/>
      <c r="T82" s="425"/>
      <c r="U82" s="425"/>
      <c r="V82" s="425"/>
      <c r="W82" s="425"/>
      <c r="X82" s="425"/>
      <c r="Y82" s="425"/>
      <c r="Z82" s="425"/>
    </row>
    <row r="83" spans="1:26" ht="14.4">
      <c r="A83" s="425"/>
      <c r="B83" s="425"/>
      <c r="C83" s="425"/>
      <c r="D83" s="425"/>
      <c r="E83" s="425"/>
      <c r="F83" s="425"/>
      <c r="G83" s="425"/>
      <c r="H83" s="425"/>
      <c r="I83" s="425"/>
      <c r="J83" s="425"/>
      <c r="K83" s="425"/>
      <c r="L83" s="425"/>
      <c r="M83" s="425"/>
      <c r="N83" s="425"/>
      <c r="O83" s="425"/>
      <c r="P83" s="425"/>
      <c r="Q83" s="425"/>
      <c r="R83" s="425"/>
      <c r="S83" s="425"/>
      <c r="T83" s="425"/>
      <c r="U83" s="425"/>
      <c r="V83" s="425"/>
      <c r="W83" s="425"/>
      <c r="X83" s="425"/>
      <c r="Y83" s="425"/>
      <c r="Z83" s="425"/>
    </row>
    <row r="84" spans="1:26" ht="14.4">
      <c r="A84" s="425"/>
      <c r="B84" s="425"/>
      <c r="C84" s="425"/>
      <c r="D84" s="425"/>
      <c r="E84" s="425"/>
      <c r="F84" s="425"/>
      <c r="G84" s="425"/>
      <c r="H84" s="425"/>
      <c r="I84" s="425"/>
      <c r="J84" s="425"/>
      <c r="K84" s="425"/>
      <c r="L84" s="425"/>
      <c r="M84" s="425"/>
      <c r="N84" s="425"/>
      <c r="O84" s="425"/>
      <c r="P84" s="425"/>
      <c r="Q84" s="425"/>
      <c r="R84" s="425"/>
      <c r="S84" s="425"/>
      <c r="T84" s="425"/>
      <c r="U84" s="425"/>
      <c r="V84" s="425"/>
      <c r="W84" s="425"/>
      <c r="X84" s="425"/>
      <c r="Y84" s="425"/>
      <c r="Z84" s="425"/>
    </row>
    <row r="85" spans="1:26" ht="14.4">
      <c r="A85" s="425"/>
      <c r="B85" s="425"/>
      <c r="C85" s="425"/>
      <c r="D85" s="425"/>
      <c r="E85" s="425"/>
      <c r="F85" s="425"/>
      <c r="G85" s="425"/>
      <c r="H85" s="425"/>
      <c r="I85" s="425"/>
      <c r="J85" s="425"/>
      <c r="K85" s="425"/>
      <c r="L85" s="425"/>
      <c r="M85" s="425"/>
      <c r="N85" s="425"/>
      <c r="O85" s="425"/>
      <c r="P85" s="425"/>
      <c r="Q85" s="425"/>
      <c r="R85" s="425"/>
      <c r="S85" s="425"/>
      <c r="T85" s="425"/>
      <c r="U85" s="425"/>
      <c r="V85" s="425"/>
      <c r="W85" s="425"/>
      <c r="X85" s="425"/>
      <c r="Y85" s="425"/>
      <c r="Z85" s="425"/>
    </row>
    <row r="86" spans="1:26" ht="14.4">
      <c r="A86" s="425"/>
      <c r="B86" s="425"/>
      <c r="C86" s="425"/>
      <c r="D86" s="425"/>
      <c r="E86" s="425"/>
      <c r="F86" s="425"/>
      <c r="G86" s="425"/>
      <c r="H86" s="425"/>
      <c r="I86" s="425"/>
      <c r="J86" s="425"/>
      <c r="K86" s="425"/>
      <c r="L86" s="425"/>
      <c r="M86" s="425"/>
      <c r="N86" s="425"/>
      <c r="O86" s="425"/>
      <c r="P86" s="425"/>
      <c r="Q86" s="425"/>
      <c r="R86" s="425"/>
      <c r="S86" s="425"/>
      <c r="T86" s="425"/>
      <c r="U86" s="425"/>
      <c r="V86" s="425"/>
      <c r="W86" s="425"/>
      <c r="X86" s="425"/>
      <c r="Y86" s="425"/>
      <c r="Z86" s="425"/>
    </row>
    <row r="87" spans="1:26" ht="14.4">
      <c r="A87" s="425"/>
      <c r="B87" s="425"/>
      <c r="C87" s="425"/>
      <c r="D87" s="425"/>
      <c r="E87" s="425"/>
      <c r="F87" s="425"/>
      <c r="G87" s="425"/>
      <c r="H87" s="425"/>
      <c r="I87" s="425"/>
      <c r="J87" s="425"/>
      <c r="K87" s="425"/>
      <c r="L87" s="425"/>
      <c r="M87" s="425"/>
      <c r="N87" s="425"/>
      <c r="O87" s="425"/>
      <c r="P87" s="425"/>
      <c r="Q87" s="425"/>
      <c r="R87" s="425"/>
      <c r="S87" s="425"/>
      <c r="T87" s="425"/>
      <c r="U87" s="425"/>
      <c r="V87" s="425"/>
      <c r="W87" s="425"/>
      <c r="X87" s="425"/>
      <c r="Y87" s="425"/>
      <c r="Z87" s="425"/>
    </row>
    <row r="88" spans="1:26" ht="14.4">
      <c r="A88" s="425"/>
      <c r="B88" s="425"/>
      <c r="C88" s="425"/>
      <c r="D88" s="425"/>
      <c r="E88" s="425"/>
      <c r="F88" s="425"/>
      <c r="G88" s="425"/>
      <c r="H88" s="425"/>
      <c r="I88" s="425"/>
      <c r="J88" s="425"/>
      <c r="K88" s="425"/>
      <c r="L88" s="425"/>
      <c r="M88" s="425"/>
      <c r="N88" s="425"/>
      <c r="O88" s="425"/>
      <c r="P88" s="425"/>
      <c r="Q88" s="425"/>
      <c r="R88" s="425"/>
      <c r="S88" s="425"/>
      <c r="T88" s="425"/>
      <c r="U88" s="425"/>
      <c r="V88" s="425"/>
      <c r="W88" s="425"/>
      <c r="X88" s="425"/>
      <c r="Y88" s="425"/>
      <c r="Z88" s="425"/>
    </row>
    <row r="89" spans="1:26" ht="14.4">
      <c r="A89" s="425"/>
      <c r="B89" s="425"/>
      <c r="C89" s="425"/>
      <c r="D89" s="425"/>
      <c r="E89" s="425"/>
      <c r="F89" s="425"/>
      <c r="G89" s="425"/>
      <c r="H89" s="425"/>
      <c r="I89" s="425"/>
      <c r="J89" s="425"/>
      <c r="K89" s="425"/>
      <c r="L89" s="425"/>
      <c r="M89" s="425"/>
      <c r="N89" s="425"/>
      <c r="O89" s="425"/>
      <c r="P89" s="425"/>
      <c r="Q89" s="425"/>
      <c r="R89" s="425"/>
      <c r="S89" s="425"/>
      <c r="T89" s="425"/>
      <c r="U89" s="425"/>
      <c r="V89" s="425"/>
      <c r="W89" s="425"/>
      <c r="X89" s="425"/>
      <c r="Y89" s="425"/>
      <c r="Z89" s="425"/>
    </row>
    <row r="90" spans="1:26" ht="14.4">
      <c r="A90" s="425"/>
      <c r="B90" s="425"/>
      <c r="C90" s="425"/>
      <c r="D90" s="425"/>
      <c r="E90" s="425"/>
      <c r="F90" s="425"/>
      <c r="G90" s="425"/>
      <c r="H90" s="425"/>
      <c r="I90" s="425"/>
      <c r="J90" s="425"/>
      <c r="K90" s="425"/>
      <c r="L90" s="425"/>
      <c r="M90" s="425"/>
      <c r="N90" s="425"/>
      <c r="O90" s="425"/>
      <c r="P90" s="425"/>
      <c r="Q90" s="425"/>
      <c r="R90" s="425"/>
      <c r="S90" s="425"/>
      <c r="T90" s="425"/>
      <c r="U90" s="425"/>
      <c r="V90" s="425"/>
      <c r="W90" s="425"/>
      <c r="X90" s="425"/>
      <c r="Y90" s="425"/>
      <c r="Z90" s="425"/>
    </row>
    <row r="91" spans="1:26" ht="14.4">
      <c r="A91" s="425"/>
      <c r="B91" s="425"/>
      <c r="C91" s="425"/>
      <c r="D91" s="425"/>
      <c r="E91" s="425"/>
      <c r="F91" s="425"/>
      <c r="G91" s="425"/>
      <c r="H91" s="425"/>
      <c r="I91" s="425"/>
      <c r="J91" s="425"/>
      <c r="K91" s="425"/>
      <c r="L91" s="425"/>
      <c r="M91" s="425"/>
      <c r="N91" s="425"/>
      <c r="O91" s="425"/>
      <c r="P91" s="425"/>
      <c r="Q91" s="425"/>
      <c r="R91" s="425"/>
      <c r="S91" s="425"/>
      <c r="T91" s="425"/>
      <c r="U91" s="425"/>
      <c r="V91" s="425"/>
      <c r="W91" s="425"/>
      <c r="X91" s="425"/>
      <c r="Y91" s="425"/>
      <c r="Z91" s="425"/>
    </row>
    <row r="92" spans="1:26" ht="14.4">
      <c r="A92" s="425"/>
      <c r="B92" s="425"/>
      <c r="C92" s="425"/>
      <c r="D92" s="425"/>
      <c r="E92" s="425"/>
      <c r="F92" s="425"/>
      <c r="G92" s="425"/>
      <c r="H92" s="425"/>
      <c r="I92" s="425"/>
      <c r="J92" s="425"/>
      <c r="K92" s="425"/>
      <c r="L92" s="425"/>
      <c r="M92" s="425"/>
      <c r="N92" s="425"/>
      <c r="O92" s="425"/>
      <c r="P92" s="425"/>
      <c r="Q92" s="425"/>
      <c r="R92" s="425"/>
      <c r="S92" s="425"/>
      <c r="T92" s="425"/>
      <c r="U92" s="425"/>
      <c r="V92" s="425"/>
      <c r="W92" s="425"/>
      <c r="X92" s="425"/>
      <c r="Y92" s="425"/>
      <c r="Z92" s="425"/>
    </row>
    <row r="93" spans="1:26" ht="14.4">
      <c r="A93" s="425"/>
      <c r="B93" s="425"/>
      <c r="C93" s="425"/>
      <c r="D93" s="425"/>
      <c r="E93" s="425"/>
      <c r="F93" s="425"/>
      <c r="G93" s="425"/>
      <c r="H93" s="425"/>
      <c r="I93" s="425"/>
      <c r="J93" s="425"/>
      <c r="K93" s="425"/>
      <c r="L93" s="425"/>
      <c r="M93" s="425"/>
      <c r="N93" s="425"/>
      <c r="O93" s="425"/>
      <c r="P93" s="425"/>
      <c r="Q93" s="425"/>
      <c r="R93" s="425"/>
      <c r="S93" s="425"/>
      <c r="T93" s="425"/>
      <c r="U93" s="425"/>
      <c r="V93" s="425"/>
      <c r="W93" s="425"/>
      <c r="X93" s="425"/>
      <c r="Y93" s="425"/>
      <c r="Z93" s="425"/>
    </row>
    <row r="94" spans="1:26" ht="14.4">
      <c r="A94" s="425"/>
      <c r="B94" s="425"/>
      <c r="C94" s="425"/>
      <c r="D94" s="425"/>
      <c r="E94" s="425"/>
      <c r="F94" s="425"/>
      <c r="G94" s="425"/>
      <c r="H94" s="425"/>
      <c r="I94" s="425"/>
      <c r="J94" s="425"/>
      <c r="K94" s="425"/>
      <c r="L94" s="425"/>
      <c r="M94" s="425"/>
      <c r="N94" s="425"/>
      <c r="O94" s="425"/>
      <c r="P94" s="425"/>
      <c r="Q94" s="425"/>
      <c r="R94" s="425"/>
      <c r="S94" s="425"/>
      <c r="T94" s="425"/>
      <c r="U94" s="425"/>
      <c r="V94" s="425"/>
      <c r="W94" s="425"/>
      <c r="X94" s="425"/>
      <c r="Y94" s="425"/>
      <c r="Z94" s="425"/>
    </row>
    <row r="95" spans="1:26" ht="14.4">
      <c r="A95" s="425"/>
      <c r="B95" s="425"/>
      <c r="C95" s="425"/>
      <c r="D95" s="425"/>
      <c r="E95" s="425"/>
      <c r="F95" s="425"/>
      <c r="G95" s="425"/>
      <c r="H95" s="425"/>
      <c r="I95" s="425"/>
      <c r="J95" s="425"/>
      <c r="K95" s="425"/>
      <c r="L95" s="425"/>
      <c r="M95" s="425"/>
      <c r="N95" s="425"/>
      <c r="O95" s="425"/>
      <c r="P95" s="425"/>
      <c r="Q95" s="425"/>
      <c r="R95" s="425"/>
      <c r="S95" s="425"/>
      <c r="T95" s="425"/>
      <c r="U95" s="425"/>
      <c r="V95" s="425"/>
      <c r="W95" s="425"/>
      <c r="X95" s="425"/>
      <c r="Y95" s="425"/>
      <c r="Z95" s="425"/>
    </row>
    <row r="96" spans="1:26" ht="14.4">
      <c r="A96" s="425"/>
      <c r="B96" s="425"/>
      <c r="C96" s="425"/>
      <c r="D96" s="425"/>
      <c r="E96" s="425"/>
      <c r="F96" s="425"/>
      <c r="G96" s="425"/>
      <c r="H96" s="425"/>
      <c r="I96" s="425"/>
      <c r="J96" s="425"/>
      <c r="K96" s="425"/>
      <c r="L96" s="425"/>
      <c r="M96" s="425"/>
      <c r="N96" s="425"/>
      <c r="O96" s="425"/>
      <c r="P96" s="425"/>
      <c r="Q96" s="425"/>
      <c r="R96" s="425"/>
      <c r="S96" s="425"/>
      <c r="T96" s="425"/>
      <c r="U96" s="425"/>
      <c r="V96" s="425"/>
      <c r="W96" s="425"/>
      <c r="X96" s="425"/>
      <c r="Y96" s="425"/>
      <c r="Z96" s="425"/>
    </row>
    <row r="97" spans="1:26" ht="14.4">
      <c r="A97" s="425"/>
      <c r="B97" s="425"/>
      <c r="C97" s="425"/>
      <c r="D97" s="425"/>
      <c r="E97" s="425"/>
      <c r="F97" s="425"/>
      <c r="G97" s="425"/>
      <c r="H97" s="425"/>
      <c r="I97" s="425"/>
      <c r="J97" s="425"/>
      <c r="K97" s="425"/>
      <c r="L97" s="425"/>
      <c r="M97" s="425"/>
      <c r="N97" s="425"/>
      <c r="O97" s="425"/>
      <c r="P97" s="425"/>
      <c r="Q97" s="425"/>
      <c r="R97" s="425"/>
      <c r="S97" s="425"/>
      <c r="T97" s="425"/>
      <c r="U97" s="425"/>
      <c r="V97" s="425"/>
      <c r="W97" s="425"/>
      <c r="X97" s="425"/>
      <c r="Y97" s="425"/>
      <c r="Z97" s="425"/>
    </row>
    <row r="98" spans="1:26" ht="14.4">
      <c r="A98" s="425"/>
      <c r="B98" s="425"/>
      <c r="C98" s="425"/>
      <c r="D98" s="425"/>
      <c r="E98" s="425"/>
      <c r="F98" s="425"/>
      <c r="G98" s="425"/>
      <c r="H98" s="425"/>
      <c r="I98" s="425"/>
      <c r="J98" s="425"/>
      <c r="K98" s="425"/>
      <c r="L98" s="425"/>
      <c r="M98" s="425"/>
      <c r="N98" s="425"/>
      <c r="O98" s="425"/>
      <c r="P98" s="425"/>
      <c r="Q98" s="425"/>
      <c r="R98" s="425"/>
      <c r="S98" s="425"/>
      <c r="T98" s="425"/>
      <c r="U98" s="425"/>
      <c r="V98" s="425"/>
      <c r="W98" s="425"/>
      <c r="X98" s="425"/>
      <c r="Y98" s="425"/>
      <c r="Z98" s="425"/>
    </row>
    <row r="99" spans="1:26" ht="14.4">
      <c r="A99" s="425"/>
      <c r="B99" s="425"/>
      <c r="C99" s="425"/>
      <c r="D99" s="425"/>
      <c r="E99" s="425"/>
      <c r="F99" s="425"/>
      <c r="G99" s="425"/>
      <c r="H99" s="425"/>
      <c r="I99" s="425"/>
      <c r="J99" s="425"/>
      <c r="K99" s="425"/>
      <c r="L99" s="425"/>
      <c r="M99" s="425"/>
      <c r="N99" s="425"/>
      <c r="O99" s="425"/>
      <c r="P99" s="425"/>
      <c r="Q99" s="425"/>
      <c r="R99" s="425"/>
      <c r="S99" s="425"/>
      <c r="T99" s="425"/>
      <c r="U99" s="425"/>
      <c r="V99" s="425"/>
      <c r="W99" s="425"/>
      <c r="X99" s="425"/>
      <c r="Y99" s="425"/>
      <c r="Z99" s="425"/>
    </row>
    <row r="100" spans="1:26" ht="14.4">
      <c r="A100" s="425"/>
      <c r="B100" s="425"/>
      <c r="C100" s="425"/>
      <c r="D100" s="425"/>
      <c r="E100" s="425"/>
      <c r="F100" s="425"/>
      <c r="G100" s="425"/>
      <c r="H100" s="425"/>
      <c r="I100" s="425"/>
      <c r="J100" s="425"/>
      <c r="K100" s="425"/>
      <c r="L100" s="425"/>
      <c r="M100" s="425"/>
      <c r="N100" s="425"/>
      <c r="O100" s="425"/>
      <c r="P100" s="425"/>
      <c r="Q100" s="425"/>
      <c r="R100" s="425"/>
      <c r="S100" s="425"/>
      <c r="T100" s="425"/>
      <c r="U100" s="425"/>
      <c r="V100" s="425"/>
      <c r="W100" s="425"/>
      <c r="X100" s="425"/>
      <c r="Y100" s="425"/>
      <c r="Z100" s="425"/>
    </row>
    <row r="101" spans="1:26" ht="14.4">
      <c r="A101" s="425"/>
      <c r="B101" s="425"/>
      <c r="C101" s="425"/>
      <c r="D101" s="425"/>
      <c r="E101" s="425"/>
      <c r="F101" s="425"/>
      <c r="G101" s="425"/>
      <c r="H101" s="425"/>
      <c r="I101" s="425"/>
      <c r="J101" s="425"/>
      <c r="K101" s="425"/>
      <c r="L101" s="425"/>
      <c r="M101" s="425"/>
      <c r="N101" s="425"/>
      <c r="O101" s="425"/>
      <c r="P101" s="425"/>
      <c r="Q101" s="425"/>
      <c r="R101" s="425"/>
      <c r="S101" s="425"/>
      <c r="T101" s="425"/>
      <c r="U101" s="425"/>
      <c r="V101" s="425"/>
      <c r="W101" s="425"/>
      <c r="X101" s="425"/>
      <c r="Y101" s="425"/>
      <c r="Z101" s="425"/>
    </row>
    <row r="102" spans="1:26" ht="15" thickBot="1">
      <c r="A102" s="423"/>
      <c r="B102" s="423"/>
      <c r="C102" s="423"/>
      <c r="D102" s="423"/>
      <c r="E102" s="423"/>
      <c r="F102" s="423"/>
      <c r="G102" s="423"/>
      <c r="H102" s="423"/>
      <c r="I102" s="423"/>
      <c r="J102" s="423"/>
      <c r="K102" s="423"/>
      <c r="L102" s="423"/>
      <c r="M102" s="423"/>
      <c r="N102" s="423"/>
      <c r="O102" s="423"/>
      <c r="P102" s="423"/>
      <c r="Q102" s="423"/>
      <c r="R102" s="423"/>
      <c r="S102" s="423"/>
      <c r="T102" s="423"/>
      <c r="U102" s="423"/>
      <c r="V102" s="423"/>
      <c r="W102" s="423"/>
      <c r="X102" s="423"/>
      <c r="Y102" s="423"/>
      <c r="Z102" s="423"/>
    </row>
    <row r="103" spans="1:26" ht="15" thickBot="1">
      <c r="A103" s="422"/>
      <c r="B103" s="422"/>
      <c r="C103" s="422"/>
      <c r="D103" s="422"/>
      <c r="E103" s="422"/>
      <c r="F103" s="422"/>
      <c r="G103" s="422"/>
      <c r="H103" s="422"/>
      <c r="I103" s="422"/>
      <c r="J103" s="422"/>
      <c r="K103" s="422"/>
      <c r="L103" s="422"/>
      <c r="M103" s="422"/>
      <c r="N103" s="422"/>
      <c r="O103" s="422"/>
      <c r="P103" s="422"/>
      <c r="Q103" s="422"/>
      <c r="R103" s="422"/>
      <c r="S103" s="422"/>
      <c r="T103" s="422"/>
      <c r="U103" s="422"/>
      <c r="V103" s="422"/>
      <c r="W103" s="422"/>
      <c r="X103" s="422"/>
      <c r="Y103" s="422"/>
      <c r="Z103" s="422"/>
    </row>
    <row r="104" spans="1:26" ht="15" thickBot="1">
      <c r="A104" s="422"/>
      <c r="B104" s="422"/>
      <c r="C104" s="422"/>
      <c r="D104" s="422"/>
      <c r="E104" s="422"/>
      <c r="F104" s="422"/>
      <c r="G104" s="422"/>
      <c r="H104" s="422"/>
      <c r="I104" s="422"/>
      <c r="J104" s="422"/>
      <c r="K104" s="422"/>
      <c r="L104" s="422"/>
      <c r="M104" s="422"/>
      <c r="N104" s="422"/>
      <c r="O104" s="422"/>
      <c r="P104" s="422"/>
      <c r="Q104" s="422"/>
      <c r="R104" s="422"/>
      <c r="S104" s="422"/>
      <c r="T104" s="422"/>
      <c r="U104" s="422"/>
      <c r="V104" s="422"/>
      <c r="W104" s="422"/>
      <c r="X104" s="422"/>
      <c r="Y104" s="422"/>
      <c r="Z104" s="422"/>
    </row>
    <row r="105" spans="1:26" ht="15" thickBot="1">
      <c r="A105" s="422"/>
      <c r="B105" s="422"/>
      <c r="C105" s="422"/>
      <c r="D105" s="422"/>
      <c r="E105" s="422"/>
      <c r="F105" s="422"/>
      <c r="G105" s="422"/>
      <c r="H105" s="422"/>
      <c r="I105" s="422"/>
      <c r="J105" s="422"/>
      <c r="K105" s="422"/>
      <c r="L105" s="422"/>
      <c r="M105" s="422"/>
      <c r="N105" s="422"/>
      <c r="O105" s="422"/>
      <c r="P105" s="422"/>
      <c r="Q105" s="422"/>
      <c r="R105" s="422"/>
      <c r="S105" s="422"/>
      <c r="T105" s="422"/>
      <c r="U105" s="422"/>
      <c r="V105" s="422"/>
      <c r="W105" s="422"/>
      <c r="X105" s="422"/>
      <c r="Y105" s="422"/>
      <c r="Z105" s="422"/>
    </row>
    <row r="106" spans="1:26" ht="15" thickBot="1">
      <c r="A106" s="422"/>
      <c r="B106" s="422"/>
      <c r="C106" s="422"/>
      <c r="D106" s="422"/>
      <c r="E106" s="422"/>
      <c r="F106" s="422"/>
      <c r="G106" s="422"/>
      <c r="H106" s="422"/>
      <c r="I106" s="422"/>
      <c r="J106" s="422"/>
      <c r="K106" s="422"/>
      <c r="L106" s="422"/>
      <c r="M106" s="422"/>
      <c r="N106" s="422"/>
      <c r="O106" s="422"/>
      <c r="P106" s="422"/>
      <c r="Q106" s="422"/>
      <c r="R106" s="422"/>
      <c r="S106" s="422"/>
      <c r="T106" s="422"/>
      <c r="U106" s="422"/>
      <c r="V106" s="422"/>
      <c r="W106" s="422"/>
      <c r="X106" s="422"/>
      <c r="Y106" s="422"/>
      <c r="Z106" s="422"/>
    </row>
    <row r="107" spans="1:26" ht="15" thickBot="1">
      <c r="A107" s="422"/>
      <c r="B107" s="422"/>
      <c r="C107" s="422"/>
      <c r="D107" s="422"/>
      <c r="E107" s="422"/>
      <c r="F107" s="422"/>
      <c r="G107" s="422"/>
      <c r="H107" s="422"/>
      <c r="I107" s="422"/>
      <c r="J107" s="422"/>
      <c r="K107" s="422"/>
      <c r="L107" s="422"/>
      <c r="M107" s="422"/>
      <c r="N107" s="422"/>
      <c r="O107" s="422"/>
      <c r="P107" s="422"/>
      <c r="Q107" s="422"/>
      <c r="R107" s="422"/>
      <c r="S107" s="422"/>
      <c r="T107" s="422"/>
      <c r="U107" s="422"/>
      <c r="V107" s="422"/>
      <c r="W107" s="422"/>
      <c r="X107" s="422"/>
      <c r="Y107" s="422"/>
      <c r="Z107" s="422"/>
    </row>
    <row r="108" spans="1:26" ht="15" thickBot="1">
      <c r="A108" s="422"/>
      <c r="B108" s="422"/>
      <c r="C108" s="422"/>
      <c r="D108" s="422"/>
      <c r="E108" s="422"/>
      <c r="F108" s="422"/>
      <c r="G108" s="422"/>
      <c r="H108" s="422"/>
      <c r="I108" s="422"/>
      <c r="J108" s="422"/>
      <c r="K108" s="422"/>
      <c r="L108" s="422"/>
      <c r="M108" s="422"/>
      <c r="N108" s="422"/>
      <c r="O108" s="422"/>
      <c r="P108" s="422"/>
      <c r="Q108" s="422"/>
      <c r="R108" s="422"/>
      <c r="S108" s="422"/>
      <c r="T108" s="422"/>
      <c r="U108" s="422"/>
      <c r="V108" s="422"/>
      <c r="W108" s="422"/>
      <c r="X108" s="422"/>
      <c r="Y108" s="422"/>
      <c r="Z108" s="422"/>
    </row>
    <row r="109" spans="1:26" ht="15" thickBot="1">
      <c r="A109" s="422"/>
      <c r="B109" s="422"/>
      <c r="C109" s="422"/>
      <c r="D109" s="422"/>
      <c r="E109" s="422"/>
      <c r="F109" s="422"/>
      <c r="G109" s="422"/>
      <c r="H109" s="422"/>
      <c r="I109" s="422"/>
      <c r="J109" s="422"/>
      <c r="K109" s="422"/>
      <c r="L109" s="422"/>
      <c r="M109" s="422"/>
      <c r="N109" s="422"/>
      <c r="O109" s="422"/>
      <c r="P109" s="422"/>
      <c r="Q109" s="422"/>
      <c r="R109" s="422"/>
      <c r="S109" s="422"/>
      <c r="T109" s="422"/>
      <c r="U109" s="422"/>
      <c r="V109" s="422"/>
      <c r="W109" s="422"/>
      <c r="X109" s="422"/>
      <c r="Y109" s="422"/>
      <c r="Z109" s="422"/>
    </row>
    <row r="110" spans="1:26" ht="15" thickBot="1">
      <c r="A110" s="422"/>
      <c r="B110" s="422"/>
      <c r="C110" s="422"/>
      <c r="D110" s="422"/>
      <c r="E110" s="422"/>
      <c r="F110" s="422"/>
      <c r="G110" s="422"/>
      <c r="H110" s="422"/>
      <c r="I110" s="422"/>
      <c r="J110" s="422"/>
      <c r="K110" s="422"/>
      <c r="L110" s="422"/>
      <c r="M110" s="422"/>
      <c r="N110" s="422"/>
      <c r="O110" s="422"/>
      <c r="P110" s="422"/>
      <c r="Q110" s="422"/>
      <c r="R110" s="422"/>
      <c r="S110" s="422"/>
      <c r="T110" s="422"/>
      <c r="U110" s="422"/>
      <c r="V110" s="422"/>
      <c r="W110" s="422"/>
      <c r="X110" s="422"/>
      <c r="Y110" s="422"/>
      <c r="Z110" s="422"/>
    </row>
    <row r="111" spans="1:26" ht="15" thickBot="1">
      <c r="A111" s="422"/>
      <c r="B111" s="422"/>
      <c r="C111" s="422"/>
      <c r="D111" s="422"/>
      <c r="E111" s="422"/>
      <c r="F111" s="422"/>
      <c r="G111" s="422"/>
      <c r="H111" s="422"/>
      <c r="I111" s="422"/>
      <c r="J111" s="422"/>
      <c r="K111" s="422"/>
      <c r="L111" s="422"/>
      <c r="M111" s="422"/>
      <c r="N111" s="422"/>
      <c r="O111" s="422"/>
      <c r="P111" s="422"/>
      <c r="Q111" s="422"/>
      <c r="R111" s="422"/>
      <c r="S111" s="422"/>
      <c r="T111" s="422"/>
      <c r="U111" s="422"/>
      <c r="V111" s="422"/>
      <c r="W111" s="422"/>
      <c r="X111" s="422"/>
      <c r="Y111" s="422"/>
      <c r="Z111" s="422"/>
    </row>
    <row r="112" spans="1:26" ht="15" thickBot="1">
      <c r="A112" s="422"/>
      <c r="B112" s="422"/>
      <c r="C112" s="422"/>
      <c r="D112" s="422"/>
      <c r="E112" s="422"/>
      <c r="F112" s="422"/>
      <c r="G112" s="422"/>
      <c r="H112" s="422"/>
      <c r="I112" s="422"/>
      <c r="J112" s="422"/>
      <c r="K112" s="422"/>
      <c r="L112" s="422"/>
      <c r="M112" s="422"/>
      <c r="N112" s="422"/>
      <c r="O112" s="422"/>
      <c r="P112" s="422"/>
      <c r="Q112" s="422"/>
      <c r="R112" s="422"/>
      <c r="S112" s="422"/>
      <c r="T112" s="422"/>
      <c r="U112" s="422"/>
      <c r="V112" s="422"/>
      <c r="W112" s="422"/>
      <c r="X112" s="422"/>
      <c r="Y112" s="422"/>
      <c r="Z112" s="422"/>
    </row>
    <row r="113" spans="1:26" ht="15" thickBot="1">
      <c r="A113" s="422"/>
      <c r="B113" s="422"/>
      <c r="C113" s="422"/>
      <c r="D113" s="422"/>
      <c r="E113" s="422"/>
      <c r="F113" s="422"/>
      <c r="G113" s="422"/>
      <c r="H113" s="422"/>
      <c r="I113" s="422"/>
      <c r="J113" s="422"/>
      <c r="K113" s="422"/>
      <c r="L113" s="422"/>
      <c r="M113" s="422"/>
      <c r="N113" s="422"/>
      <c r="O113" s="422"/>
      <c r="P113" s="422"/>
      <c r="Q113" s="422"/>
      <c r="R113" s="422"/>
      <c r="S113" s="422"/>
      <c r="T113" s="422"/>
      <c r="U113" s="422"/>
      <c r="V113" s="422"/>
      <c r="W113" s="422"/>
      <c r="X113" s="422"/>
      <c r="Y113" s="422"/>
      <c r="Z113" s="422"/>
    </row>
    <row r="114" spans="1:26" ht="15" thickBot="1">
      <c r="A114" s="422"/>
      <c r="B114" s="422"/>
      <c r="C114" s="422"/>
      <c r="D114" s="422"/>
      <c r="E114" s="422"/>
      <c r="F114" s="422"/>
      <c r="G114" s="422"/>
      <c r="H114" s="422"/>
      <c r="I114" s="422"/>
      <c r="J114" s="422"/>
      <c r="K114" s="422"/>
      <c r="L114" s="422"/>
      <c r="M114" s="422"/>
      <c r="N114" s="422"/>
      <c r="O114" s="422"/>
      <c r="P114" s="422"/>
      <c r="Q114" s="422"/>
      <c r="R114" s="422"/>
      <c r="S114" s="422"/>
      <c r="T114" s="422"/>
      <c r="U114" s="422"/>
      <c r="V114" s="422"/>
      <c r="W114" s="422"/>
      <c r="X114" s="422"/>
      <c r="Y114" s="422"/>
      <c r="Z114" s="422"/>
    </row>
    <row r="115" spans="1:26" ht="15" thickBot="1">
      <c r="A115" s="422"/>
      <c r="B115" s="422"/>
      <c r="C115" s="422"/>
      <c r="D115" s="422"/>
      <c r="E115" s="422"/>
      <c r="F115" s="422"/>
      <c r="G115" s="422"/>
      <c r="H115" s="422"/>
      <c r="I115" s="422"/>
      <c r="J115" s="422"/>
      <c r="K115" s="422"/>
      <c r="L115" s="422"/>
      <c r="M115" s="422"/>
      <c r="N115" s="422"/>
      <c r="O115" s="422"/>
      <c r="P115" s="422"/>
      <c r="Q115" s="422"/>
      <c r="R115" s="422"/>
      <c r="S115" s="422"/>
      <c r="T115" s="422"/>
      <c r="U115" s="422"/>
      <c r="V115" s="422"/>
      <c r="W115" s="422"/>
      <c r="X115" s="422"/>
      <c r="Y115" s="422"/>
      <c r="Z115" s="422"/>
    </row>
    <row r="116" spans="1:26" ht="15" thickBot="1">
      <c r="A116" s="422"/>
      <c r="B116" s="422"/>
      <c r="C116" s="422"/>
      <c r="D116" s="422"/>
      <c r="E116" s="422"/>
      <c r="F116" s="422"/>
      <c r="G116" s="422"/>
      <c r="H116" s="422"/>
      <c r="I116" s="422"/>
      <c r="J116" s="422"/>
      <c r="K116" s="422"/>
      <c r="L116" s="422"/>
      <c r="M116" s="422"/>
      <c r="N116" s="422"/>
      <c r="O116" s="422"/>
      <c r="P116" s="422"/>
      <c r="Q116" s="422"/>
      <c r="R116" s="422"/>
      <c r="S116" s="422"/>
      <c r="T116" s="422"/>
      <c r="U116" s="422"/>
      <c r="V116" s="422"/>
      <c r="W116" s="422"/>
      <c r="X116" s="422"/>
      <c r="Y116" s="422"/>
      <c r="Z116" s="422"/>
    </row>
    <row r="117" spans="1:26" ht="15" thickBot="1">
      <c r="A117" s="422"/>
      <c r="B117" s="422"/>
      <c r="C117" s="422"/>
      <c r="D117" s="422"/>
      <c r="E117" s="422"/>
      <c r="F117" s="422"/>
      <c r="G117" s="422"/>
      <c r="H117" s="422"/>
      <c r="I117" s="422"/>
      <c r="J117" s="422"/>
      <c r="K117" s="422"/>
      <c r="L117" s="422"/>
      <c r="M117" s="422"/>
      <c r="N117" s="422"/>
      <c r="O117" s="422"/>
      <c r="P117" s="422"/>
      <c r="Q117" s="422"/>
      <c r="R117" s="422"/>
      <c r="S117" s="422"/>
      <c r="T117" s="422"/>
      <c r="U117" s="422"/>
      <c r="V117" s="422"/>
      <c r="W117" s="422"/>
      <c r="X117" s="422"/>
      <c r="Y117" s="422"/>
      <c r="Z117" s="422"/>
    </row>
    <row r="118" spans="1:26" ht="15" thickBot="1">
      <c r="A118" s="422"/>
      <c r="B118" s="422"/>
      <c r="C118" s="422"/>
      <c r="D118" s="422"/>
      <c r="E118" s="422"/>
      <c r="F118" s="422"/>
      <c r="G118" s="422"/>
      <c r="H118" s="422"/>
      <c r="I118" s="422"/>
      <c r="J118" s="422"/>
      <c r="K118" s="422"/>
      <c r="L118" s="422"/>
      <c r="M118" s="422"/>
      <c r="N118" s="422"/>
      <c r="O118" s="422"/>
      <c r="P118" s="422"/>
      <c r="Q118" s="422"/>
      <c r="R118" s="422"/>
      <c r="S118" s="422"/>
      <c r="T118" s="422"/>
      <c r="U118" s="422"/>
      <c r="V118" s="422"/>
      <c r="W118" s="422"/>
      <c r="X118" s="422"/>
      <c r="Y118" s="422"/>
      <c r="Z118" s="422"/>
    </row>
    <row r="119" spans="1:26" ht="15" thickBot="1">
      <c r="A119" s="422"/>
      <c r="B119" s="422"/>
      <c r="C119" s="422"/>
      <c r="D119" s="422"/>
      <c r="E119" s="422"/>
      <c r="F119" s="422"/>
      <c r="G119" s="422"/>
      <c r="H119" s="422"/>
      <c r="I119" s="422"/>
      <c r="J119" s="422"/>
      <c r="K119" s="422"/>
      <c r="L119" s="422"/>
      <c r="M119" s="422"/>
      <c r="N119" s="422"/>
      <c r="O119" s="422"/>
      <c r="P119" s="422"/>
      <c r="Q119" s="422"/>
      <c r="R119" s="422"/>
      <c r="S119" s="422"/>
      <c r="T119" s="422"/>
      <c r="U119" s="422"/>
      <c r="V119" s="422"/>
      <c r="W119" s="422"/>
      <c r="X119" s="422"/>
      <c r="Y119" s="422"/>
      <c r="Z119" s="422"/>
    </row>
    <row r="120" spans="1:26" ht="15" thickBot="1">
      <c r="A120" s="422"/>
      <c r="B120" s="422"/>
      <c r="C120" s="422"/>
      <c r="D120" s="422"/>
      <c r="E120" s="422"/>
      <c r="F120" s="422"/>
      <c r="G120" s="422"/>
      <c r="H120" s="422"/>
      <c r="I120" s="422"/>
      <c r="J120" s="422"/>
      <c r="K120" s="422"/>
      <c r="L120" s="422"/>
      <c r="M120" s="422"/>
      <c r="N120" s="422"/>
      <c r="O120" s="422"/>
      <c r="P120" s="422"/>
      <c r="Q120" s="422"/>
      <c r="R120" s="422"/>
      <c r="S120" s="422"/>
      <c r="T120" s="422"/>
      <c r="U120" s="422"/>
      <c r="V120" s="422"/>
      <c r="W120" s="422"/>
      <c r="X120" s="422"/>
      <c r="Y120" s="422"/>
      <c r="Z120" s="422"/>
    </row>
    <row r="121" spans="1:26" ht="15" thickBot="1">
      <c r="A121" s="422"/>
      <c r="B121" s="422"/>
      <c r="C121" s="422"/>
      <c r="D121" s="422"/>
      <c r="E121" s="422"/>
      <c r="F121" s="422"/>
      <c r="G121" s="422"/>
      <c r="H121" s="422"/>
      <c r="I121" s="422"/>
      <c r="J121" s="422"/>
      <c r="K121" s="422"/>
      <c r="L121" s="422"/>
      <c r="M121" s="422"/>
      <c r="N121" s="422"/>
      <c r="O121" s="422"/>
      <c r="P121" s="422"/>
      <c r="Q121" s="422"/>
      <c r="R121" s="422"/>
      <c r="S121" s="422"/>
      <c r="T121" s="422"/>
      <c r="U121" s="422"/>
      <c r="V121" s="422"/>
      <c r="W121" s="422"/>
      <c r="X121" s="422"/>
      <c r="Y121" s="422"/>
      <c r="Z121" s="422"/>
    </row>
    <row r="122" spans="1:26" ht="15" thickBot="1">
      <c r="A122" s="422"/>
      <c r="B122" s="422"/>
      <c r="C122" s="422"/>
      <c r="D122" s="422"/>
      <c r="E122" s="422"/>
      <c r="F122" s="422"/>
      <c r="G122" s="422"/>
      <c r="H122" s="422"/>
      <c r="I122" s="422"/>
      <c r="J122" s="422"/>
      <c r="K122" s="422"/>
      <c r="L122" s="422"/>
      <c r="M122" s="422"/>
      <c r="N122" s="422"/>
      <c r="O122" s="422"/>
      <c r="P122" s="422"/>
      <c r="Q122" s="422"/>
      <c r="R122" s="422"/>
      <c r="S122" s="422"/>
      <c r="T122" s="422"/>
      <c r="U122" s="422"/>
      <c r="V122" s="422"/>
      <c r="W122" s="422"/>
      <c r="X122" s="422"/>
      <c r="Y122" s="422"/>
      <c r="Z122" s="422"/>
    </row>
    <row r="123" spans="1:26" ht="15" thickBot="1">
      <c r="A123" s="422"/>
      <c r="B123" s="422"/>
      <c r="C123" s="422"/>
      <c r="D123" s="422"/>
      <c r="E123" s="422"/>
      <c r="F123" s="422"/>
      <c r="G123" s="422"/>
      <c r="H123" s="422"/>
      <c r="I123" s="422"/>
      <c r="J123" s="422"/>
      <c r="K123" s="422"/>
      <c r="L123" s="422"/>
      <c r="M123" s="422"/>
      <c r="N123" s="422"/>
      <c r="O123" s="422"/>
      <c r="P123" s="422"/>
      <c r="Q123" s="422"/>
      <c r="R123" s="422"/>
      <c r="S123" s="422"/>
      <c r="T123" s="422"/>
      <c r="U123" s="422"/>
      <c r="V123" s="422"/>
      <c r="W123" s="422"/>
      <c r="X123" s="422"/>
      <c r="Y123" s="422"/>
      <c r="Z123" s="422"/>
    </row>
    <row r="124" spans="1:26" ht="15" thickBot="1">
      <c r="A124" s="422"/>
      <c r="B124" s="422"/>
      <c r="C124" s="422"/>
      <c r="D124" s="422"/>
      <c r="E124" s="422"/>
      <c r="F124" s="422"/>
      <c r="G124" s="422"/>
      <c r="H124" s="422"/>
      <c r="I124" s="422"/>
      <c r="J124" s="422"/>
      <c r="K124" s="422"/>
      <c r="L124" s="422"/>
      <c r="M124" s="422"/>
      <c r="N124" s="422"/>
      <c r="O124" s="422"/>
      <c r="P124" s="422"/>
      <c r="Q124" s="422"/>
      <c r="R124" s="422"/>
      <c r="S124" s="422"/>
      <c r="T124" s="422"/>
      <c r="U124" s="422"/>
      <c r="V124" s="422"/>
      <c r="W124" s="422"/>
      <c r="X124" s="422"/>
      <c r="Y124" s="422"/>
      <c r="Z124" s="422"/>
    </row>
    <row r="125" spans="1:26" ht="15" thickBot="1">
      <c r="A125" s="422"/>
      <c r="B125" s="422"/>
      <c r="C125" s="422"/>
      <c r="D125" s="422"/>
      <c r="E125" s="422"/>
      <c r="F125" s="422"/>
      <c r="G125" s="422"/>
      <c r="H125" s="422"/>
      <c r="I125" s="422"/>
      <c r="J125" s="422"/>
      <c r="K125" s="422"/>
      <c r="L125" s="422"/>
      <c r="M125" s="422"/>
      <c r="N125" s="422"/>
      <c r="O125" s="422"/>
      <c r="P125" s="422"/>
      <c r="Q125" s="422"/>
      <c r="R125" s="422"/>
      <c r="S125" s="422"/>
      <c r="T125" s="422"/>
      <c r="U125" s="422"/>
      <c r="V125" s="422"/>
      <c r="W125" s="422"/>
      <c r="X125" s="422"/>
      <c r="Y125" s="422"/>
      <c r="Z125" s="422"/>
    </row>
    <row r="126" spans="1:26" ht="15" thickBot="1">
      <c r="A126" s="422"/>
      <c r="B126" s="422"/>
      <c r="C126" s="422"/>
      <c r="D126" s="422"/>
      <c r="E126" s="422"/>
      <c r="F126" s="422"/>
      <c r="G126" s="422"/>
      <c r="H126" s="422"/>
      <c r="I126" s="422"/>
      <c r="J126" s="422"/>
      <c r="K126" s="422"/>
      <c r="L126" s="422"/>
      <c r="M126" s="422"/>
      <c r="N126" s="422"/>
      <c r="O126" s="422"/>
      <c r="P126" s="422"/>
      <c r="Q126" s="422"/>
      <c r="R126" s="422"/>
      <c r="S126" s="422"/>
      <c r="T126" s="422"/>
      <c r="U126" s="422"/>
      <c r="V126" s="422"/>
      <c r="W126" s="422"/>
      <c r="X126" s="422"/>
      <c r="Y126" s="422"/>
      <c r="Z126" s="422"/>
    </row>
    <row r="127" spans="1:26" ht="15" thickBot="1">
      <c r="A127" s="422"/>
      <c r="B127" s="422"/>
      <c r="C127" s="422"/>
      <c r="D127" s="422"/>
      <c r="E127" s="422"/>
      <c r="F127" s="422"/>
      <c r="G127" s="422"/>
      <c r="H127" s="422"/>
      <c r="I127" s="422"/>
      <c r="J127" s="422"/>
      <c r="K127" s="422"/>
      <c r="L127" s="422"/>
      <c r="M127" s="422"/>
      <c r="N127" s="422"/>
      <c r="O127" s="422"/>
      <c r="P127" s="422"/>
      <c r="Q127" s="422"/>
      <c r="R127" s="422"/>
      <c r="S127" s="422"/>
      <c r="T127" s="422"/>
      <c r="U127" s="422"/>
      <c r="V127" s="422"/>
      <c r="W127" s="422"/>
      <c r="X127" s="422"/>
      <c r="Y127" s="422"/>
      <c r="Z127" s="422"/>
    </row>
    <row r="128" spans="1:26" ht="15" thickBot="1">
      <c r="A128" s="422"/>
      <c r="B128" s="422"/>
      <c r="C128" s="422"/>
      <c r="D128" s="422"/>
      <c r="E128" s="422"/>
      <c r="F128" s="422"/>
      <c r="G128" s="422"/>
      <c r="H128" s="422"/>
      <c r="I128" s="422"/>
      <c r="J128" s="422"/>
      <c r="K128" s="422"/>
      <c r="L128" s="422"/>
      <c r="M128" s="422"/>
      <c r="N128" s="422"/>
      <c r="O128" s="422"/>
      <c r="P128" s="422"/>
      <c r="Q128" s="422"/>
      <c r="R128" s="422"/>
      <c r="S128" s="422"/>
      <c r="T128" s="422"/>
      <c r="U128" s="422"/>
      <c r="V128" s="422"/>
      <c r="W128" s="422"/>
      <c r="X128" s="422"/>
      <c r="Y128" s="422"/>
      <c r="Z128" s="422"/>
    </row>
    <row r="129" spans="1:26" ht="15" thickBot="1">
      <c r="A129" s="422"/>
      <c r="B129" s="422"/>
      <c r="C129" s="422"/>
      <c r="D129" s="422"/>
      <c r="E129" s="422"/>
      <c r="F129" s="422"/>
      <c r="G129" s="422"/>
      <c r="H129" s="422"/>
      <c r="I129" s="422"/>
      <c r="J129" s="422"/>
      <c r="K129" s="422"/>
      <c r="L129" s="422"/>
      <c r="M129" s="422"/>
      <c r="N129" s="422"/>
      <c r="O129" s="422"/>
      <c r="P129" s="422"/>
      <c r="Q129" s="422"/>
      <c r="R129" s="422"/>
      <c r="S129" s="422"/>
      <c r="T129" s="422"/>
      <c r="U129" s="422"/>
      <c r="V129" s="422"/>
      <c r="W129" s="422"/>
      <c r="X129" s="422"/>
      <c r="Y129" s="422"/>
      <c r="Z129" s="422"/>
    </row>
    <row r="130" spans="1:26" ht="15" thickBot="1">
      <c r="A130" s="422"/>
      <c r="B130" s="422"/>
      <c r="C130" s="422"/>
      <c r="D130" s="422"/>
      <c r="E130" s="422"/>
      <c r="F130" s="422"/>
      <c r="G130" s="422"/>
      <c r="H130" s="422"/>
      <c r="I130" s="422"/>
      <c r="J130" s="422"/>
      <c r="K130" s="422"/>
      <c r="L130" s="422"/>
      <c r="M130" s="422"/>
      <c r="N130" s="422"/>
      <c r="O130" s="422"/>
      <c r="P130" s="422"/>
      <c r="Q130" s="422"/>
      <c r="R130" s="422"/>
      <c r="S130" s="422"/>
      <c r="T130" s="422"/>
      <c r="U130" s="422"/>
      <c r="V130" s="422"/>
      <c r="W130" s="422"/>
      <c r="X130" s="422"/>
      <c r="Y130" s="422"/>
      <c r="Z130" s="422"/>
    </row>
    <row r="131" spans="1:26" ht="15" thickBot="1">
      <c r="A131" s="422"/>
      <c r="B131" s="422"/>
      <c r="C131" s="422"/>
      <c r="D131" s="422"/>
      <c r="E131" s="422"/>
      <c r="F131" s="422"/>
      <c r="G131" s="422"/>
      <c r="H131" s="422"/>
      <c r="I131" s="422"/>
      <c r="J131" s="422"/>
      <c r="K131" s="422"/>
      <c r="L131" s="422"/>
      <c r="M131" s="422"/>
      <c r="N131" s="422"/>
      <c r="O131" s="422"/>
      <c r="P131" s="422"/>
      <c r="Q131" s="422"/>
      <c r="R131" s="422"/>
      <c r="S131" s="422"/>
      <c r="T131" s="422"/>
      <c r="U131" s="422"/>
      <c r="V131" s="422"/>
      <c r="W131" s="422"/>
      <c r="X131" s="422"/>
      <c r="Y131" s="422"/>
      <c r="Z131" s="422"/>
    </row>
    <row r="132" spans="1:26" ht="15" thickBot="1">
      <c r="A132" s="422"/>
      <c r="B132" s="422"/>
      <c r="C132" s="422"/>
      <c r="D132" s="422"/>
      <c r="E132" s="422"/>
      <c r="F132" s="422"/>
      <c r="G132" s="422"/>
      <c r="H132" s="422"/>
      <c r="I132" s="422"/>
      <c r="J132" s="422"/>
      <c r="K132" s="422"/>
      <c r="L132" s="422"/>
      <c r="M132" s="422"/>
      <c r="N132" s="422"/>
      <c r="O132" s="422"/>
      <c r="P132" s="422"/>
      <c r="Q132" s="422"/>
      <c r="R132" s="422"/>
      <c r="S132" s="422"/>
      <c r="T132" s="422"/>
      <c r="U132" s="422"/>
      <c r="V132" s="422"/>
      <c r="W132" s="422"/>
      <c r="X132" s="422"/>
      <c r="Y132" s="422"/>
      <c r="Z132" s="422"/>
    </row>
    <row r="133" spans="1:26" ht="15" thickBot="1">
      <c r="A133" s="422"/>
      <c r="B133" s="422"/>
      <c r="C133" s="422"/>
      <c r="D133" s="422"/>
      <c r="E133" s="422"/>
      <c r="F133" s="422"/>
      <c r="G133" s="422"/>
      <c r="H133" s="422"/>
      <c r="I133" s="422"/>
      <c r="J133" s="422"/>
      <c r="K133" s="422"/>
      <c r="L133" s="422"/>
      <c r="M133" s="422"/>
      <c r="N133" s="422"/>
      <c r="O133" s="422"/>
      <c r="P133" s="422"/>
      <c r="Q133" s="422"/>
      <c r="R133" s="422"/>
      <c r="S133" s="422"/>
      <c r="T133" s="422"/>
      <c r="U133" s="422"/>
      <c r="V133" s="422"/>
      <c r="W133" s="422"/>
      <c r="X133" s="422"/>
      <c r="Y133" s="422"/>
      <c r="Z133" s="422"/>
    </row>
    <row r="134" spans="1:26" ht="15" thickBot="1">
      <c r="A134" s="422"/>
      <c r="B134" s="422"/>
      <c r="C134" s="422"/>
      <c r="D134" s="422"/>
      <c r="E134" s="422"/>
      <c r="F134" s="422"/>
      <c r="G134" s="422"/>
      <c r="H134" s="422"/>
      <c r="I134" s="422"/>
      <c r="J134" s="422"/>
      <c r="K134" s="422"/>
      <c r="L134" s="422"/>
      <c r="M134" s="422"/>
      <c r="N134" s="422"/>
      <c r="O134" s="422"/>
      <c r="P134" s="422"/>
      <c r="Q134" s="422"/>
      <c r="R134" s="422"/>
      <c r="S134" s="422"/>
      <c r="T134" s="422"/>
      <c r="U134" s="422"/>
      <c r="V134" s="422"/>
      <c r="W134" s="422"/>
      <c r="X134" s="422"/>
      <c r="Y134" s="422"/>
      <c r="Z134" s="422"/>
    </row>
    <row r="135" spans="1:26" ht="15" thickBot="1">
      <c r="A135" s="422"/>
      <c r="B135" s="422"/>
      <c r="C135" s="422"/>
      <c r="D135" s="422"/>
      <c r="E135" s="422"/>
      <c r="F135" s="422"/>
      <c r="G135" s="422"/>
      <c r="H135" s="422"/>
      <c r="I135" s="422"/>
      <c r="J135" s="422"/>
      <c r="K135" s="422"/>
      <c r="L135" s="422"/>
      <c r="M135" s="422"/>
      <c r="N135" s="422"/>
      <c r="O135" s="422"/>
      <c r="P135" s="422"/>
      <c r="Q135" s="422"/>
      <c r="R135" s="422"/>
      <c r="S135" s="422"/>
      <c r="T135" s="422"/>
      <c r="U135" s="422"/>
      <c r="V135" s="422"/>
      <c r="W135" s="422"/>
      <c r="X135" s="422"/>
      <c r="Y135" s="422"/>
      <c r="Z135" s="422"/>
    </row>
    <row r="136" spans="1:26" ht="15" thickBot="1">
      <c r="A136" s="422"/>
      <c r="B136" s="422"/>
      <c r="C136" s="422"/>
      <c r="D136" s="422"/>
      <c r="E136" s="422"/>
      <c r="F136" s="422"/>
      <c r="G136" s="422"/>
      <c r="H136" s="422"/>
      <c r="I136" s="422"/>
      <c r="J136" s="422"/>
      <c r="K136" s="422"/>
      <c r="L136" s="422"/>
      <c r="M136" s="422"/>
      <c r="N136" s="422"/>
      <c r="O136" s="422"/>
      <c r="P136" s="422"/>
      <c r="Q136" s="422"/>
      <c r="R136" s="422"/>
      <c r="S136" s="422"/>
      <c r="T136" s="422"/>
      <c r="U136" s="422"/>
      <c r="V136" s="422"/>
      <c r="W136" s="422"/>
      <c r="X136" s="422"/>
      <c r="Y136" s="422"/>
      <c r="Z136" s="422"/>
    </row>
    <row r="137" spans="1:26" ht="15" thickBot="1">
      <c r="A137" s="422"/>
      <c r="B137" s="422"/>
      <c r="C137" s="422"/>
      <c r="D137" s="422"/>
      <c r="E137" s="422"/>
      <c r="F137" s="422"/>
      <c r="G137" s="422"/>
      <c r="H137" s="422"/>
      <c r="I137" s="422"/>
      <c r="J137" s="422"/>
      <c r="K137" s="422"/>
      <c r="L137" s="422"/>
      <c r="M137" s="422"/>
      <c r="N137" s="422"/>
      <c r="O137" s="422"/>
      <c r="P137" s="422"/>
      <c r="Q137" s="422"/>
      <c r="R137" s="422"/>
      <c r="S137" s="422"/>
      <c r="T137" s="422"/>
      <c r="U137" s="422"/>
      <c r="V137" s="422"/>
      <c r="W137" s="422"/>
      <c r="X137" s="422"/>
      <c r="Y137" s="422"/>
      <c r="Z137" s="422"/>
    </row>
    <row r="138" spans="1:26" ht="15" thickBot="1">
      <c r="A138" s="422"/>
      <c r="B138" s="422"/>
      <c r="C138" s="422"/>
      <c r="D138" s="422"/>
      <c r="E138" s="422"/>
      <c r="F138" s="422"/>
      <c r="G138" s="422"/>
      <c r="H138" s="422"/>
      <c r="I138" s="422"/>
      <c r="J138" s="422"/>
      <c r="K138" s="422"/>
      <c r="L138" s="422"/>
      <c r="M138" s="422"/>
      <c r="N138" s="422"/>
      <c r="O138" s="422"/>
      <c r="P138" s="422"/>
      <c r="Q138" s="422"/>
      <c r="R138" s="422"/>
      <c r="S138" s="422"/>
      <c r="T138" s="422"/>
      <c r="U138" s="422"/>
      <c r="V138" s="422"/>
      <c r="W138" s="422"/>
      <c r="X138" s="422"/>
      <c r="Y138" s="422"/>
      <c r="Z138" s="422"/>
    </row>
    <row r="139" spans="1:26" ht="15" thickBot="1">
      <c r="A139" s="422"/>
      <c r="B139" s="422"/>
      <c r="C139" s="422"/>
      <c r="D139" s="422"/>
      <c r="E139" s="422"/>
      <c r="F139" s="422"/>
      <c r="G139" s="422"/>
      <c r="H139" s="422"/>
      <c r="I139" s="422"/>
      <c r="J139" s="422"/>
      <c r="K139" s="422"/>
      <c r="L139" s="422"/>
      <c r="M139" s="422"/>
      <c r="N139" s="422"/>
      <c r="O139" s="422"/>
      <c r="P139" s="422"/>
      <c r="Q139" s="422"/>
      <c r="R139" s="422"/>
      <c r="S139" s="422"/>
      <c r="T139" s="422"/>
      <c r="U139" s="422"/>
      <c r="V139" s="422"/>
      <c r="W139" s="422"/>
      <c r="X139" s="422"/>
      <c r="Y139" s="422"/>
      <c r="Z139" s="422"/>
    </row>
    <row r="140" spans="1:26" ht="15" thickBot="1">
      <c r="A140" s="422"/>
      <c r="B140" s="422"/>
      <c r="C140" s="422"/>
      <c r="D140" s="422"/>
      <c r="E140" s="422"/>
      <c r="F140" s="422"/>
      <c r="G140" s="422"/>
      <c r="H140" s="422"/>
      <c r="I140" s="422"/>
      <c r="J140" s="422"/>
      <c r="K140" s="422"/>
      <c r="L140" s="422"/>
      <c r="M140" s="422"/>
      <c r="N140" s="422"/>
      <c r="O140" s="422"/>
      <c r="P140" s="422"/>
      <c r="Q140" s="422"/>
      <c r="R140" s="422"/>
      <c r="S140" s="422"/>
      <c r="T140" s="422"/>
      <c r="U140" s="422"/>
      <c r="V140" s="422"/>
      <c r="W140" s="422"/>
      <c r="X140" s="422"/>
      <c r="Y140" s="422"/>
      <c r="Z140" s="422"/>
    </row>
    <row r="141" spans="1:26" ht="15" thickBot="1">
      <c r="A141" s="422"/>
      <c r="B141" s="422"/>
      <c r="C141" s="422"/>
      <c r="D141" s="422"/>
      <c r="E141" s="422"/>
      <c r="F141" s="422"/>
      <c r="G141" s="422"/>
      <c r="H141" s="422"/>
      <c r="I141" s="422"/>
      <c r="J141" s="422"/>
      <c r="K141" s="422"/>
      <c r="L141" s="422"/>
      <c r="M141" s="422"/>
      <c r="N141" s="422"/>
      <c r="O141" s="422"/>
      <c r="P141" s="422"/>
      <c r="Q141" s="422"/>
      <c r="R141" s="422"/>
      <c r="S141" s="422"/>
      <c r="T141" s="422"/>
      <c r="U141" s="422"/>
      <c r="V141" s="422"/>
      <c r="W141" s="422"/>
      <c r="X141" s="422"/>
      <c r="Y141" s="422"/>
      <c r="Z141" s="422"/>
    </row>
    <row r="142" spans="1:26" ht="15" thickBot="1">
      <c r="A142" s="422"/>
      <c r="B142" s="422"/>
      <c r="C142" s="422"/>
      <c r="D142" s="422"/>
      <c r="E142" s="422"/>
      <c r="F142" s="422"/>
      <c r="G142" s="422"/>
      <c r="H142" s="422"/>
      <c r="I142" s="422"/>
      <c r="J142" s="422"/>
      <c r="K142" s="422"/>
      <c r="L142" s="422"/>
      <c r="M142" s="422"/>
      <c r="N142" s="422"/>
      <c r="O142" s="422"/>
      <c r="P142" s="422"/>
      <c r="Q142" s="422"/>
      <c r="R142" s="422"/>
      <c r="S142" s="422"/>
      <c r="T142" s="422"/>
      <c r="U142" s="422"/>
      <c r="V142" s="422"/>
      <c r="W142" s="422"/>
      <c r="X142" s="422"/>
      <c r="Y142" s="422"/>
      <c r="Z142" s="422"/>
    </row>
    <row r="143" spans="1:26" ht="15" thickBot="1">
      <c r="A143" s="422"/>
      <c r="B143" s="422"/>
      <c r="C143" s="422"/>
      <c r="D143" s="422"/>
      <c r="E143" s="422"/>
      <c r="F143" s="422"/>
      <c r="G143" s="422"/>
      <c r="H143" s="422"/>
      <c r="I143" s="422"/>
      <c r="J143" s="422"/>
      <c r="K143" s="422"/>
      <c r="L143" s="422"/>
      <c r="M143" s="422"/>
      <c r="N143" s="422"/>
      <c r="O143" s="422"/>
      <c r="P143" s="422"/>
      <c r="Q143" s="422"/>
      <c r="R143" s="422"/>
      <c r="S143" s="422"/>
      <c r="T143" s="422"/>
      <c r="U143" s="422"/>
      <c r="V143" s="422"/>
      <c r="W143" s="422"/>
      <c r="X143" s="422"/>
      <c r="Y143" s="422"/>
      <c r="Z143" s="422"/>
    </row>
    <row r="144" spans="1:26" ht="15" thickBot="1">
      <c r="A144" s="422"/>
      <c r="B144" s="422"/>
      <c r="C144" s="422"/>
      <c r="D144" s="422"/>
      <c r="E144" s="422"/>
      <c r="F144" s="422"/>
      <c r="G144" s="422"/>
      <c r="H144" s="422"/>
      <c r="I144" s="422"/>
      <c r="J144" s="422"/>
      <c r="K144" s="422"/>
      <c r="L144" s="422"/>
      <c r="M144" s="422"/>
      <c r="N144" s="422"/>
      <c r="O144" s="422"/>
      <c r="P144" s="422"/>
      <c r="Q144" s="422"/>
      <c r="R144" s="422"/>
      <c r="S144" s="422"/>
      <c r="T144" s="422"/>
      <c r="U144" s="422"/>
      <c r="V144" s="422"/>
      <c r="W144" s="422"/>
      <c r="X144" s="422"/>
      <c r="Y144" s="422"/>
      <c r="Z144" s="422"/>
    </row>
    <row r="145" spans="1:26" ht="15" thickBot="1">
      <c r="A145" s="422"/>
      <c r="B145" s="422"/>
      <c r="C145" s="422"/>
      <c r="D145" s="422"/>
      <c r="E145" s="422"/>
      <c r="F145" s="422"/>
      <c r="G145" s="422"/>
      <c r="H145" s="422"/>
      <c r="I145" s="422"/>
      <c r="J145" s="422"/>
      <c r="K145" s="422"/>
      <c r="L145" s="422"/>
      <c r="M145" s="422"/>
      <c r="N145" s="422"/>
      <c r="O145" s="422"/>
      <c r="P145" s="422"/>
      <c r="Q145" s="422"/>
      <c r="R145" s="422"/>
      <c r="S145" s="422"/>
      <c r="T145" s="422"/>
      <c r="U145" s="422"/>
      <c r="V145" s="422"/>
      <c r="W145" s="422"/>
      <c r="X145" s="422"/>
      <c r="Y145" s="422"/>
      <c r="Z145" s="422"/>
    </row>
    <row r="146" spans="1:26" ht="15" thickBot="1">
      <c r="A146" s="422"/>
      <c r="B146" s="422"/>
      <c r="C146" s="422"/>
      <c r="D146" s="422"/>
      <c r="E146" s="422"/>
      <c r="F146" s="422"/>
      <c r="G146" s="422"/>
      <c r="H146" s="422"/>
      <c r="I146" s="422"/>
      <c r="J146" s="422"/>
      <c r="K146" s="422"/>
      <c r="L146" s="422"/>
      <c r="M146" s="422"/>
      <c r="N146" s="422"/>
      <c r="O146" s="422"/>
      <c r="P146" s="422"/>
      <c r="Q146" s="422"/>
      <c r="R146" s="422"/>
      <c r="S146" s="422"/>
      <c r="T146" s="422"/>
      <c r="U146" s="422"/>
      <c r="V146" s="422"/>
      <c r="W146" s="422"/>
      <c r="X146" s="422"/>
      <c r="Y146" s="422"/>
      <c r="Z146" s="422"/>
    </row>
    <row r="147" spans="1:26" ht="15" thickBot="1">
      <c r="A147" s="422"/>
      <c r="B147" s="422"/>
      <c r="C147" s="422"/>
      <c r="D147" s="422"/>
      <c r="E147" s="422"/>
      <c r="F147" s="422"/>
      <c r="G147" s="422"/>
      <c r="H147" s="422"/>
      <c r="I147" s="422"/>
      <c r="J147" s="422"/>
      <c r="K147" s="422"/>
      <c r="L147" s="422"/>
      <c r="M147" s="422"/>
      <c r="N147" s="422"/>
      <c r="O147" s="422"/>
      <c r="P147" s="422"/>
      <c r="Q147" s="422"/>
      <c r="R147" s="422"/>
      <c r="S147" s="422"/>
      <c r="T147" s="422"/>
      <c r="U147" s="422"/>
      <c r="V147" s="422"/>
      <c r="W147" s="422"/>
      <c r="X147" s="422"/>
      <c r="Y147" s="422"/>
      <c r="Z147" s="422"/>
    </row>
    <row r="148" spans="1:26" ht="15" thickBot="1">
      <c r="A148" s="422"/>
      <c r="B148" s="422"/>
      <c r="C148" s="422"/>
      <c r="D148" s="422"/>
      <c r="E148" s="422"/>
      <c r="F148" s="422"/>
      <c r="G148" s="422"/>
      <c r="H148" s="422"/>
      <c r="I148" s="422"/>
      <c r="J148" s="422"/>
      <c r="K148" s="422"/>
      <c r="L148" s="422"/>
      <c r="M148" s="422"/>
      <c r="N148" s="422"/>
      <c r="O148" s="422"/>
      <c r="P148" s="422"/>
      <c r="Q148" s="422"/>
      <c r="R148" s="422"/>
      <c r="S148" s="422"/>
      <c r="T148" s="422"/>
      <c r="U148" s="422"/>
      <c r="V148" s="422"/>
      <c r="W148" s="422"/>
      <c r="X148" s="422"/>
      <c r="Y148" s="422"/>
      <c r="Z148" s="422"/>
    </row>
    <row r="149" spans="1:26" ht="15" thickBot="1">
      <c r="A149" s="422"/>
      <c r="B149" s="422"/>
      <c r="C149" s="422"/>
      <c r="D149" s="422"/>
      <c r="E149" s="422"/>
      <c r="F149" s="422"/>
      <c r="G149" s="422"/>
      <c r="H149" s="422"/>
      <c r="I149" s="422"/>
      <c r="J149" s="422"/>
      <c r="K149" s="422"/>
      <c r="L149" s="422"/>
      <c r="M149" s="422"/>
      <c r="N149" s="422"/>
      <c r="O149" s="422"/>
      <c r="P149" s="422"/>
      <c r="Q149" s="422"/>
      <c r="R149" s="422"/>
      <c r="S149" s="422"/>
      <c r="T149" s="422"/>
      <c r="U149" s="422"/>
      <c r="V149" s="422"/>
      <c r="W149" s="422"/>
      <c r="X149" s="422"/>
      <c r="Y149" s="422"/>
      <c r="Z149" s="422"/>
    </row>
    <row r="150" spans="1:26" ht="15" thickBot="1">
      <c r="A150" s="422"/>
      <c r="B150" s="422"/>
      <c r="C150" s="422"/>
      <c r="D150" s="422"/>
      <c r="E150" s="422"/>
      <c r="F150" s="422"/>
      <c r="G150" s="422"/>
      <c r="H150" s="422"/>
      <c r="I150" s="422"/>
      <c r="J150" s="422"/>
      <c r="K150" s="422"/>
      <c r="L150" s="422"/>
      <c r="M150" s="422"/>
      <c r="N150" s="422"/>
      <c r="O150" s="422"/>
      <c r="P150" s="422"/>
      <c r="Q150" s="422"/>
      <c r="R150" s="422"/>
      <c r="S150" s="422"/>
      <c r="T150" s="422"/>
      <c r="U150" s="422"/>
      <c r="V150" s="422"/>
      <c r="W150" s="422"/>
      <c r="X150" s="422"/>
      <c r="Y150" s="422"/>
      <c r="Z150" s="422"/>
    </row>
    <row r="151" spans="1:26" ht="15" thickBot="1">
      <c r="A151" s="422"/>
      <c r="B151" s="422"/>
      <c r="C151" s="422"/>
      <c r="D151" s="422"/>
      <c r="E151" s="422"/>
      <c r="F151" s="422"/>
      <c r="G151" s="422"/>
      <c r="H151" s="422"/>
      <c r="I151" s="422"/>
      <c r="J151" s="422"/>
      <c r="K151" s="422"/>
      <c r="L151" s="422"/>
      <c r="M151" s="422"/>
      <c r="N151" s="422"/>
      <c r="O151" s="422"/>
      <c r="P151" s="422"/>
      <c r="Q151" s="422"/>
      <c r="R151" s="422"/>
      <c r="S151" s="422"/>
      <c r="T151" s="422"/>
      <c r="U151" s="422"/>
      <c r="V151" s="422"/>
      <c r="W151" s="422"/>
      <c r="X151" s="422"/>
      <c r="Y151" s="422"/>
      <c r="Z151" s="422"/>
    </row>
    <row r="152" spans="1:26" ht="15" thickBot="1">
      <c r="A152" s="422"/>
      <c r="B152" s="422"/>
      <c r="C152" s="422"/>
      <c r="D152" s="422"/>
      <c r="E152" s="422"/>
      <c r="F152" s="422"/>
      <c r="G152" s="422"/>
      <c r="H152" s="422"/>
      <c r="I152" s="422"/>
      <c r="J152" s="422"/>
      <c r="K152" s="422"/>
      <c r="L152" s="422"/>
      <c r="M152" s="422"/>
      <c r="N152" s="422"/>
      <c r="O152" s="422"/>
      <c r="P152" s="422"/>
      <c r="Q152" s="422"/>
      <c r="R152" s="422"/>
      <c r="S152" s="422"/>
      <c r="T152" s="422"/>
      <c r="U152" s="422"/>
      <c r="V152" s="422"/>
      <c r="W152" s="422"/>
      <c r="X152" s="422"/>
      <c r="Y152" s="422"/>
      <c r="Z152" s="422"/>
    </row>
    <row r="153" spans="1:26" ht="15" thickBot="1">
      <c r="A153" s="422"/>
      <c r="B153" s="422"/>
      <c r="C153" s="422"/>
      <c r="D153" s="422"/>
      <c r="E153" s="422"/>
      <c r="F153" s="422"/>
      <c r="G153" s="422"/>
      <c r="H153" s="422"/>
      <c r="I153" s="422"/>
      <c r="J153" s="422"/>
      <c r="K153" s="422"/>
      <c r="L153" s="422"/>
      <c r="M153" s="422"/>
      <c r="N153" s="422"/>
      <c r="O153" s="422"/>
      <c r="P153" s="422"/>
      <c r="Q153" s="422"/>
      <c r="R153" s="422"/>
      <c r="S153" s="422"/>
      <c r="T153" s="422"/>
      <c r="U153" s="422"/>
      <c r="V153" s="422"/>
      <c r="W153" s="422"/>
      <c r="X153" s="422"/>
      <c r="Y153" s="422"/>
      <c r="Z153" s="422"/>
    </row>
    <row r="154" spans="1:26" ht="15" thickBot="1">
      <c r="A154" s="422"/>
      <c r="B154" s="422"/>
      <c r="C154" s="422"/>
      <c r="D154" s="422"/>
      <c r="E154" s="422"/>
      <c r="F154" s="422"/>
      <c r="G154" s="422"/>
      <c r="H154" s="422"/>
      <c r="I154" s="422"/>
      <c r="J154" s="422"/>
      <c r="K154" s="422"/>
      <c r="L154" s="422"/>
      <c r="M154" s="422"/>
      <c r="N154" s="422"/>
      <c r="O154" s="422"/>
      <c r="P154" s="422"/>
      <c r="Q154" s="422"/>
      <c r="R154" s="422"/>
      <c r="S154" s="422"/>
      <c r="T154" s="422"/>
      <c r="U154" s="422"/>
      <c r="V154" s="422"/>
      <c r="W154" s="422"/>
      <c r="X154" s="422"/>
      <c r="Y154" s="422"/>
      <c r="Z154" s="422"/>
    </row>
    <row r="155" spans="1:26" ht="15" thickBot="1">
      <c r="A155" s="422"/>
      <c r="B155" s="422"/>
      <c r="C155" s="422"/>
      <c r="D155" s="422"/>
      <c r="E155" s="422"/>
      <c r="F155" s="422"/>
      <c r="G155" s="422"/>
      <c r="H155" s="422"/>
      <c r="I155" s="422"/>
      <c r="J155" s="422"/>
      <c r="K155" s="422"/>
      <c r="L155" s="422"/>
      <c r="M155" s="422"/>
      <c r="N155" s="422"/>
      <c r="O155" s="422"/>
      <c r="P155" s="422"/>
      <c r="Q155" s="422"/>
      <c r="R155" s="422"/>
      <c r="S155" s="422"/>
      <c r="T155" s="422"/>
      <c r="U155" s="422"/>
      <c r="V155" s="422"/>
      <c r="W155" s="422"/>
      <c r="X155" s="422"/>
      <c r="Y155" s="422"/>
      <c r="Z155" s="422"/>
    </row>
    <row r="156" spans="1:26" ht="15" thickBot="1">
      <c r="A156" s="422"/>
      <c r="B156" s="422"/>
      <c r="C156" s="422"/>
      <c r="D156" s="422"/>
      <c r="E156" s="422"/>
      <c r="F156" s="422"/>
      <c r="G156" s="422"/>
      <c r="H156" s="422"/>
      <c r="I156" s="422"/>
      <c r="J156" s="422"/>
      <c r="K156" s="422"/>
      <c r="L156" s="422"/>
      <c r="M156" s="422"/>
      <c r="N156" s="422"/>
      <c r="O156" s="422"/>
      <c r="P156" s="422"/>
      <c r="Q156" s="422"/>
      <c r="R156" s="422"/>
      <c r="S156" s="422"/>
      <c r="T156" s="422"/>
      <c r="U156" s="422"/>
      <c r="V156" s="422"/>
      <c r="W156" s="422"/>
      <c r="X156" s="422"/>
      <c r="Y156" s="422"/>
      <c r="Z156" s="422"/>
    </row>
    <row r="157" spans="1:26" ht="15" thickBot="1">
      <c r="A157" s="422"/>
      <c r="B157" s="422"/>
      <c r="C157" s="422"/>
      <c r="D157" s="422"/>
      <c r="E157" s="422"/>
      <c r="F157" s="422"/>
      <c r="G157" s="422"/>
      <c r="H157" s="422"/>
      <c r="I157" s="422"/>
      <c r="J157" s="422"/>
      <c r="K157" s="422"/>
      <c r="L157" s="422"/>
      <c r="M157" s="422"/>
      <c r="N157" s="422"/>
      <c r="O157" s="422"/>
      <c r="P157" s="422"/>
      <c r="Q157" s="422"/>
      <c r="R157" s="422"/>
      <c r="S157" s="422"/>
      <c r="T157" s="422"/>
      <c r="U157" s="422"/>
      <c r="V157" s="422"/>
      <c r="W157" s="422"/>
      <c r="X157" s="422"/>
      <c r="Y157" s="422"/>
      <c r="Z157" s="422"/>
    </row>
    <row r="158" spans="1:26" ht="15" thickBot="1">
      <c r="A158" s="422"/>
      <c r="B158" s="422"/>
      <c r="C158" s="422"/>
      <c r="D158" s="422"/>
      <c r="E158" s="422"/>
      <c r="F158" s="422"/>
      <c r="G158" s="422"/>
      <c r="H158" s="422"/>
      <c r="I158" s="422"/>
      <c r="J158" s="422"/>
      <c r="K158" s="422"/>
      <c r="L158" s="422"/>
      <c r="M158" s="422"/>
      <c r="N158" s="422"/>
      <c r="O158" s="422"/>
      <c r="P158" s="422"/>
      <c r="Q158" s="422"/>
      <c r="R158" s="422"/>
      <c r="S158" s="422"/>
      <c r="T158" s="422"/>
      <c r="U158" s="422"/>
      <c r="V158" s="422"/>
      <c r="W158" s="422"/>
      <c r="X158" s="422"/>
      <c r="Y158" s="422"/>
      <c r="Z158" s="422"/>
    </row>
    <row r="159" spans="1:26" ht="15" thickBot="1">
      <c r="A159" s="422"/>
      <c r="B159" s="422"/>
      <c r="C159" s="422"/>
      <c r="D159" s="422"/>
      <c r="E159" s="422"/>
      <c r="F159" s="422"/>
      <c r="G159" s="422"/>
      <c r="H159" s="422"/>
      <c r="I159" s="422"/>
      <c r="J159" s="422"/>
      <c r="K159" s="422"/>
      <c r="L159" s="422"/>
      <c r="M159" s="422"/>
      <c r="N159" s="422"/>
      <c r="O159" s="422"/>
      <c r="P159" s="422"/>
      <c r="Q159" s="422"/>
      <c r="R159" s="422"/>
      <c r="S159" s="422"/>
      <c r="T159" s="422"/>
      <c r="U159" s="422"/>
      <c r="V159" s="422"/>
      <c r="W159" s="422"/>
      <c r="X159" s="422"/>
      <c r="Y159" s="422"/>
      <c r="Z159" s="422"/>
    </row>
    <row r="160" spans="1:26" ht="15" thickBot="1">
      <c r="A160" s="422"/>
      <c r="B160" s="422"/>
      <c r="C160" s="422"/>
      <c r="D160" s="422"/>
      <c r="E160" s="422"/>
      <c r="F160" s="422"/>
      <c r="G160" s="422"/>
      <c r="H160" s="422"/>
      <c r="I160" s="422"/>
      <c r="J160" s="422"/>
      <c r="K160" s="422"/>
      <c r="L160" s="422"/>
      <c r="M160" s="422"/>
      <c r="N160" s="422"/>
      <c r="O160" s="422"/>
      <c r="P160" s="422"/>
      <c r="Q160" s="422"/>
      <c r="R160" s="422"/>
      <c r="S160" s="422"/>
      <c r="T160" s="422"/>
      <c r="U160" s="422"/>
      <c r="V160" s="422"/>
      <c r="W160" s="422"/>
      <c r="X160" s="422"/>
      <c r="Y160" s="422"/>
      <c r="Z160" s="422"/>
    </row>
    <row r="161" spans="1:26" ht="15" thickBot="1">
      <c r="A161" s="422"/>
      <c r="B161" s="422"/>
      <c r="C161" s="422"/>
      <c r="D161" s="422"/>
      <c r="E161" s="422"/>
      <c r="F161" s="422"/>
      <c r="G161" s="422"/>
      <c r="H161" s="422"/>
      <c r="I161" s="422"/>
      <c r="J161" s="422"/>
      <c r="K161" s="422"/>
      <c r="L161" s="422"/>
      <c r="M161" s="422"/>
      <c r="N161" s="422"/>
      <c r="O161" s="422"/>
      <c r="P161" s="422"/>
      <c r="Q161" s="422"/>
      <c r="R161" s="422"/>
      <c r="S161" s="422"/>
      <c r="T161" s="422"/>
      <c r="U161" s="422"/>
      <c r="V161" s="422"/>
      <c r="W161" s="422"/>
      <c r="X161" s="422"/>
      <c r="Y161" s="422"/>
      <c r="Z161" s="422"/>
    </row>
    <row r="162" spans="1:26" ht="15" thickBot="1">
      <c r="A162" s="422"/>
      <c r="B162" s="422"/>
      <c r="C162" s="422"/>
      <c r="D162" s="422"/>
      <c r="E162" s="422"/>
      <c r="F162" s="422"/>
      <c r="G162" s="422"/>
      <c r="H162" s="422"/>
      <c r="I162" s="422"/>
      <c r="J162" s="422"/>
      <c r="K162" s="422"/>
      <c r="L162" s="422"/>
      <c r="M162" s="422"/>
      <c r="N162" s="422"/>
      <c r="O162" s="422"/>
      <c r="P162" s="422"/>
      <c r="Q162" s="422"/>
      <c r="R162" s="422"/>
      <c r="S162" s="422"/>
      <c r="T162" s="422"/>
      <c r="U162" s="422"/>
      <c r="V162" s="422"/>
      <c r="W162" s="422"/>
      <c r="X162" s="422"/>
      <c r="Y162" s="422"/>
      <c r="Z162" s="422"/>
    </row>
    <row r="163" spans="1:26" ht="15" thickBot="1">
      <c r="A163" s="422"/>
      <c r="B163" s="422"/>
      <c r="C163" s="422"/>
      <c r="D163" s="422"/>
      <c r="E163" s="422"/>
      <c r="F163" s="422"/>
      <c r="G163" s="422"/>
      <c r="H163" s="422"/>
      <c r="I163" s="422"/>
      <c r="J163" s="422"/>
      <c r="K163" s="422"/>
      <c r="L163" s="422"/>
      <c r="M163" s="422"/>
      <c r="N163" s="422"/>
      <c r="O163" s="422"/>
      <c r="P163" s="422"/>
      <c r="Q163" s="422"/>
      <c r="R163" s="422"/>
      <c r="S163" s="422"/>
      <c r="T163" s="422"/>
      <c r="U163" s="422"/>
      <c r="V163" s="422"/>
      <c r="W163" s="422"/>
      <c r="X163" s="422"/>
      <c r="Y163" s="422"/>
      <c r="Z163" s="422"/>
    </row>
    <row r="164" spans="1:26" ht="15" thickBot="1">
      <c r="A164" s="422"/>
      <c r="B164" s="422"/>
      <c r="C164" s="422"/>
      <c r="D164" s="422"/>
      <c r="E164" s="422"/>
      <c r="F164" s="422"/>
      <c r="G164" s="422"/>
      <c r="H164" s="422"/>
      <c r="I164" s="422"/>
      <c r="J164" s="422"/>
      <c r="K164" s="422"/>
      <c r="L164" s="422"/>
      <c r="M164" s="422"/>
      <c r="N164" s="422"/>
      <c r="O164" s="422"/>
      <c r="P164" s="422"/>
      <c r="Q164" s="422"/>
      <c r="R164" s="422"/>
      <c r="S164" s="422"/>
      <c r="T164" s="422"/>
      <c r="U164" s="422"/>
      <c r="V164" s="422"/>
      <c r="W164" s="422"/>
      <c r="X164" s="422"/>
      <c r="Y164" s="422"/>
      <c r="Z164" s="422"/>
    </row>
    <row r="165" spans="1:26" ht="15" thickBot="1">
      <c r="A165" s="422"/>
      <c r="B165" s="422"/>
      <c r="C165" s="422"/>
      <c r="D165" s="422"/>
      <c r="E165" s="422"/>
      <c r="F165" s="422"/>
      <c r="G165" s="422"/>
      <c r="H165" s="422"/>
      <c r="I165" s="422"/>
      <c r="J165" s="422"/>
      <c r="K165" s="422"/>
      <c r="L165" s="422"/>
      <c r="M165" s="422"/>
      <c r="N165" s="422"/>
      <c r="O165" s="422"/>
      <c r="P165" s="422"/>
      <c r="Q165" s="422"/>
      <c r="R165" s="422"/>
      <c r="S165" s="422"/>
      <c r="T165" s="422"/>
      <c r="U165" s="422"/>
      <c r="V165" s="422"/>
      <c r="W165" s="422"/>
      <c r="X165" s="422"/>
      <c r="Y165" s="422"/>
      <c r="Z165" s="422"/>
    </row>
    <row r="166" spans="1:26" ht="15" thickBot="1">
      <c r="A166" s="422"/>
      <c r="B166" s="422"/>
      <c r="C166" s="422"/>
      <c r="D166" s="422"/>
      <c r="E166" s="422"/>
      <c r="F166" s="422"/>
      <c r="G166" s="422"/>
      <c r="H166" s="422"/>
      <c r="I166" s="422"/>
      <c r="J166" s="422"/>
      <c r="K166" s="422"/>
      <c r="L166" s="422"/>
      <c r="M166" s="422"/>
      <c r="N166" s="422"/>
      <c r="O166" s="422"/>
      <c r="P166" s="422"/>
      <c r="Q166" s="422"/>
      <c r="R166" s="422"/>
      <c r="S166" s="422"/>
      <c r="T166" s="422"/>
      <c r="U166" s="422"/>
      <c r="V166" s="422"/>
      <c r="W166" s="422"/>
      <c r="X166" s="422"/>
      <c r="Y166" s="422"/>
      <c r="Z166" s="422"/>
    </row>
    <row r="167" spans="1:26" ht="15" thickBot="1">
      <c r="A167" s="422"/>
      <c r="B167" s="422"/>
      <c r="C167" s="422"/>
      <c r="D167" s="422"/>
      <c r="E167" s="422"/>
      <c r="F167" s="422"/>
      <c r="G167" s="422"/>
      <c r="H167" s="422"/>
      <c r="I167" s="422"/>
      <c r="J167" s="422"/>
      <c r="K167" s="422"/>
      <c r="L167" s="422"/>
      <c r="M167" s="422"/>
      <c r="N167" s="422"/>
      <c r="O167" s="422"/>
      <c r="P167" s="422"/>
      <c r="Q167" s="422"/>
      <c r="R167" s="422"/>
      <c r="S167" s="422"/>
      <c r="T167" s="422"/>
      <c r="U167" s="422"/>
      <c r="V167" s="422"/>
      <c r="W167" s="422"/>
      <c r="X167" s="422"/>
      <c r="Y167" s="422"/>
      <c r="Z167" s="422"/>
    </row>
    <row r="168" spans="1:26" ht="15" thickBot="1">
      <c r="A168" s="422"/>
      <c r="B168" s="422"/>
      <c r="C168" s="422"/>
      <c r="D168" s="422"/>
      <c r="E168" s="422"/>
      <c r="F168" s="422"/>
      <c r="G168" s="422"/>
      <c r="H168" s="422"/>
      <c r="I168" s="422"/>
      <c r="J168" s="422"/>
      <c r="K168" s="422"/>
      <c r="L168" s="422"/>
      <c r="M168" s="422"/>
      <c r="N168" s="422"/>
      <c r="O168" s="422"/>
      <c r="P168" s="422"/>
      <c r="Q168" s="422"/>
      <c r="R168" s="422"/>
      <c r="S168" s="422"/>
      <c r="T168" s="422"/>
      <c r="U168" s="422"/>
      <c r="V168" s="422"/>
      <c r="W168" s="422"/>
      <c r="X168" s="422"/>
      <c r="Y168" s="422"/>
      <c r="Z168" s="422"/>
    </row>
    <row r="169" spans="1:26" ht="15" thickBot="1">
      <c r="A169" s="422"/>
      <c r="B169" s="422"/>
      <c r="C169" s="422"/>
      <c r="D169" s="422"/>
      <c r="E169" s="422"/>
      <c r="F169" s="422"/>
      <c r="G169" s="422"/>
      <c r="H169" s="422"/>
      <c r="I169" s="422"/>
      <c r="J169" s="422"/>
      <c r="K169" s="422"/>
      <c r="L169" s="422"/>
      <c r="M169" s="422"/>
      <c r="N169" s="422"/>
      <c r="O169" s="422"/>
      <c r="P169" s="422"/>
      <c r="Q169" s="422"/>
      <c r="R169" s="422"/>
      <c r="S169" s="422"/>
      <c r="T169" s="422"/>
      <c r="U169" s="422"/>
      <c r="V169" s="422"/>
      <c r="W169" s="422"/>
      <c r="X169" s="422"/>
      <c r="Y169" s="422"/>
      <c r="Z169" s="422"/>
    </row>
    <row r="170" spans="1:26" ht="15" thickBot="1">
      <c r="A170" s="422"/>
      <c r="B170" s="422"/>
      <c r="C170" s="422"/>
      <c r="D170" s="422"/>
      <c r="E170" s="422"/>
      <c r="F170" s="422"/>
      <c r="G170" s="422"/>
      <c r="H170" s="422"/>
      <c r="I170" s="422"/>
      <c r="J170" s="422"/>
      <c r="K170" s="422"/>
      <c r="L170" s="422"/>
      <c r="M170" s="422"/>
      <c r="N170" s="422"/>
      <c r="O170" s="422"/>
      <c r="P170" s="422"/>
      <c r="Q170" s="422"/>
      <c r="R170" s="422"/>
      <c r="S170" s="422"/>
      <c r="T170" s="422"/>
      <c r="U170" s="422"/>
      <c r="V170" s="422"/>
      <c r="W170" s="422"/>
      <c r="X170" s="422"/>
      <c r="Y170" s="422"/>
      <c r="Z170" s="422"/>
    </row>
    <row r="171" spans="1:26" ht="15" thickBot="1">
      <c r="A171" s="422"/>
      <c r="B171" s="422"/>
      <c r="C171" s="422"/>
      <c r="D171" s="422"/>
      <c r="E171" s="422"/>
      <c r="F171" s="422"/>
      <c r="G171" s="422"/>
      <c r="H171" s="422"/>
      <c r="I171" s="422"/>
      <c r="J171" s="422"/>
      <c r="K171" s="422"/>
      <c r="L171" s="422"/>
      <c r="M171" s="422"/>
      <c r="N171" s="422"/>
      <c r="O171" s="422"/>
      <c r="P171" s="422"/>
      <c r="Q171" s="422"/>
      <c r="R171" s="422"/>
      <c r="S171" s="422"/>
      <c r="T171" s="422"/>
      <c r="U171" s="422"/>
      <c r="V171" s="422"/>
      <c r="W171" s="422"/>
      <c r="X171" s="422"/>
      <c r="Y171" s="422"/>
      <c r="Z171" s="422"/>
    </row>
    <row r="172" spans="1:26" ht="15" thickBot="1">
      <c r="A172" s="422"/>
      <c r="B172" s="422"/>
      <c r="C172" s="422"/>
      <c r="D172" s="422"/>
      <c r="E172" s="422"/>
      <c r="F172" s="422"/>
      <c r="G172" s="422"/>
      <c r="H172" s="422"/>
      <c r="I172" s="422"/>
      <c r="J172" s="422"/>
      <c r="K172" s="422"/>
      <c r="L172" s="422"/>
      <c r="M172" s="422"/>
      <c r="N172" s="422"/>
      <c r="O172" s="422"/>
      <c r="P172" s="422"/>
      <c r="Q172" s="422"/>
      <c r="R172" s="422"/>
      <c r="S172" s="422"/>
      <c r="T172" s="422"/>
      <c r="U172" s="422"/>
      <c r="V172" s="422"/>
      <c r="W172" s="422"/>
      <c r="X172" s="422"/>
      <c r="Y172" s="422"/>
      <c r="Z172" s="422"/>
    </row>
    <row r="173" spans="1:26" ht="15" thickBot="1">
      <c r="A173" s="422"/>
      <c r="B173" s="422"/>
      <c r="C173" s="422"/>
      <c r="D173" s="422"/>
      <c r="E173" s="422"/>
      <c r="F173" s="422"/>
      <c r="G173" s="422"/>
      <c r="H173" s="422"/>
      <c r="I173" s="422"/>
      <c r="J173" s="422"/>
      <c r="K173" s="422"/>
      <c r="L173" s="422"/>
      <c r="M173" s="422"/>
      <c r="N173" s="422"/>
      <c r="O173" s="422"/>
      <c r="P173" s="422"/>
      <c r="Q173" s="422"/>
      <c r="R173" s="422"/>
      <c r="S173" s="422"/>
      <c r="T173" s="422"/>
      <c r="U173" s="422"/>
      <c r="V173" s="422"/>
      <c r="W173" s="422"/>
      <c r="X173" s="422"/>
      <c r="Y173" s="422"/>
      <c r="Z173" s="422"/>
    </row>
    <row r="174" spans="1:26" ht="15" thickBot="1">
      <c r="A174" s="422"/>
      <c r="B174" s="422"/>
      <c r="C174" s="422"/>
      <c r="D174" s="422"/>
      <c r="E174" s="422"/>
      <c r="F174" s="422"/>
      <c r="G174" s="422"/>
      <c r="H174" s="422"/>
      <c r="I174" s="422"/>
      <c r="J174" s="422"/>
      <c r="K174" s="422"/>
      <c r="L174" s="422"/>
      <c r="M174" s="422"/>
      <c r="N174" s="422"/>
      <c r="O174" s="422"/>
      <c r="P174" s="422"/>
      <c r="Q174" s="422"/>
      <c r="R174" s="422"/>
      <c r="S174" s="422"/>
      <c r="T174" s="422"/>
      <c r="U174" s="422"/>
      <c r="V174" s="422"/>
      <c r="W174" s="422"/>
      <c r="X174" s="422"/>
      <c r="Y174" s="422"/>
      <c r="Z174" s="422"/>
    </row>
    <row r="175" spans="1:26" ht="15" thickBot="1">
      <c r="A175" s="422"/>
      <c r="B175" s="422"/>
      <c r="C175" s="422"/>
      <c r="D175" s="422"/>
      <c r="E175" s="422"/>
      <c r="F175" s="422"/>
      <c r="G175" s="422"/>
      <c r="H175" s="422"/>
      <c r="I175" s="422"/>
      <c r="J175" s="422"/>
      <c r="K175" s="422"/>
      <c r="L175" s="422"/>
      <c r="M175" s="422"/>
      <c r="N175" s="422"/>
      <c r="O175" s="422"/>
      <c r="P175" s="422"/>
      <c r="Q175" s="422"/>
      <c r="R175" s="422"/>
      <c r="S175" s="422"/>
      <c r="T175" s="422"/>
      <c r="U175" s="422"/>
      <c r="V175" s="422"/>
      <c r="W175" s="422"/>
      <c r="X175" s="422"/>
      <c r="Y175" s="422"/>
      <c r="Z175" s="422"/>
    </row>
    <row r="176" spans="1:26" ht="15" thickBot="1">
      <c r="A176" s="422"/>
      <c r="B176" s="422"/>
      <c r="C176" s="422"/>
      <c r="D176" s="422"/>
      <c r="E176" s="422"/>
      <c r="F176" s="422"/>
      <c r="G176" s="422"/>
      <c r="H176" s="422"/>
      <c r="I176" s="422"/>
      <c r="J176" s="422"/>
      <c r="K176" s="422"/>
      <c r="L176" s="422"/>
      <c r="M176" s="422"/>
      <c r="N176" s="422"/>
      <c r="O176" s="422"/>
      <c r="P176" s="422"/>
      <c r="Q176" s="422"/>
      <c r="R176" s="422"/>
      <c r="S176" s="422"/>
      <c r="T176" s="422"/>
      <c r="U176" s="422"/>
      <c r="V176" s="422"/>
      <c r="W176" s="422"/>
      <c r="X176" s="422"/>
      <c r="Y176" s="422"/>
      <c r="Z176" s="422"/>
    </row>
    <row r="177" spans="1:26" ht="15" thickBot="1">
      <c r="A177" s="422"/>
      <c r="B177" s="422"/>
      <c r="C177" s="422"/>
      <c r="D177" s="422"/>
      <c r="E177" s="422"/>
      <c r="F177" s="422"/>
      <c r="G177" s="422"/>
      <c r="H177" s="422"/>
      <c r="I177" s="422"/>
      <c r="J177" s="422"/>
      <c r="K177" s="422"/>
      <c r="L177" s="422"/>
      <c r="M177" s="422"/>
      <c r="N177" s="422"/>
      <c r="O177" s="422"/>
      <c r="P177" s="422"/>
      <c r="Q177" s="422"/>
      <c r="R177" s="422"/>
      <c r="S177" s="422"/>
      <c r="T177" s="422"/>
      <c r="U177" s="422"/>
      <c r="V177" s="422"/>
      <c r="W177" s="422"/>
      <c r="X177" s="422"/>
      <c r="Y177" s="422"/>
      <c r="Z177" s="422"/>
    </row>
    <row r="178" spans="1:26" ht="15" thickBot="1">
      <c r="A178" s="422"/>
      <c r="B178" s="422"/>
      <c r="C178" s="422"/>
      <c r="D178" s="422"/>
      <c r="E178" s="422"/>
      <c r="F178" s="422"/>
      <c r="G178" s="422"/>
      <c r="H178" s="422"/>
      <c r="I178" s="422"/>
      <c r="J178" s="422"/>
      <c r="K178" s="422"/>
      <c r="L178" s="422"/>
      <c r="M178" s="422"/>
      <c r="N178" s="422"/>
      <c r="O178" s="422"/>
      <c r="P178" s="422"/>
      <c r="Q178" s="422"/>
      <c r="R178" s="422"/>
      <c r="S178" s="422"/>
      <c r="T178" s="422"/>
      <c r="U178" s="422"/>
      <c r="V178" s="422"/>
      <c r="W178" s="422"/>
      <c r="X178" s="422"/>
      <c r="Y178" s="422"/>
      <c r="Z178" s="422"/>
    </row>
    <row r="179" spans="1:26" ht="15" thickBot="1">
      <c r="A179" s="422"/>
      <c r="B179" s="422"/>
      <c r="C179" s="422"/>
      <c r="D179" s="422"/>
      <c r="E179" s="422"/>
      <c r="F179" s="422"/>
      <c r="G179" s="422"/>
      <c r="H179" s="422"/>
      <c r="I179" s="422"/>
      <c r="J179" s="422"/>
      <c r="K179" s="422"/>
      <c r="L179" s="422"/>
      <c r="M179" s="422"/>
      <c r="N179" s="422"/>
      <c r="O179" s="422"/>
      <c r="P179" s="422"/>
      <c r="Q179" s="422"/>
      <c r="R179" s="422"/>
      <c r="S179" s="422"/>
      <c r="T179" s="422"/>
      <c r="U179" s="422"/>
      <c r="V179" s="422"/>
      <c r="W179" s="422"/>
      <c r="X179" s="422"/>
      <c r="Y179" s="422"/>
      <c r="Z179" s="422"/>
    </row>
    <row r="180" spans="1:26" ht="15" thickBot="1">
      <c r="A180" s="422"/>
      <c r="B180" s="422"/>
      <c r="C180" s="422"/>
      <c r="D180" s="422"/>
      <c r="E180" s="422"/>
      <c r="F180" s="422"/>
      <c r="G180" s="422"/>
      <c r="H180" s="422"/>
      <c r="I180" s="422"/>
      <c r="J180" s="422"/>
      <c r="K180" s="422"/>
      <c r="L180" s="422"/>
      <c r="M180" s="422"/>
      <c r="N180" s="422"/>
      <c r="O180" s="422"/>
      <c r="P180" s="422"/>
      <c r="Q180" s="422"/>
      <c r="R180" s="422"/>
      <c r="S180" s="422"/>
      <c r="T180" s="422"/>
      <c r="U180" s="422"/>
      <c r="V180" s="422"/>
      <c r="W180" s="422"/>
      <c r="X180" s="422"/>
      <c r="Y180" s="422"/>
      <c r="Z180" s="422"/>
    </row>
    <row r="181" spans="1:26" ht="15" thickBot="1">
      <c r="A181" s="422"/>
      <c r="B181" s="422"/>
      <c r="C181" s="422"/>
      <c r="D181" s="422"/>
      <c r="E181" s="422"/>
      <c r="F181" s="422"/>
      <c r="G181" s="422"/>
      <c r="H181" s="422"/>
      <c r="I181" s="422"/>
      <c r="J181" s="422"/>
      <c r="K181" s="422"/>
      <c r="L181" s="422"/>
      <c r="M181" s="422"/>
      <c r="N181" s="422"/>
      <c r="O181" s="422"/>
      <c r="P181" s="422"/>
      <c r="Q181" s="422"/>
      <c r="R181" s="422"/>
      <c r="S181" s="422"/>
      <c r="T181" s="422"/>
      <c r="U181" s="422"/>
      <c r="V181" s="422"/>
      <c r="W181" s="422"/>
      <c r="X181" s="422"/>
      <c r="Y181" s="422"/>
      <c r="Z181" s="422"/>
    </row>
    <row r="182" spans="1:26" ht="15" thickBot="1">
      <c r="A182" s="422"/>
      <c r="B182" s="422"/>
      <c r="C182" s="422"/>
      <c r="D182" s="422"/>
      <c r="E182" s="422"/>
      <c r="F182" s="422"/>
      <c r="G182" s="422"/>
      <c r="H182" s="422"/>
      <c r="I182" s="422"/>
      <c r="J182" s="422"/>
      <c r="K182" s="422"/>
      <c r="L182" s="422"/>
      <c r="M182" s="422"/>
      <c r="N182" s="422"/>
      <c r="O182" s="422"/>
      <c r="P182" s="422"/>
      <c r="Q182" s="422"/>
      <c r="R182" s="422"/>
      <c r="S182" s="422"/>
      <c r="T182" s="422"/>
      <c r="U182" s="422"/>
      <c r="V182" s="422"/>
      <c r="W182" s="422"/>
      <c r="X182" s="422"/>
      <c r="Y182" s="422"/>
      <c r="Z182" s="422"/>
    </row>
    <row r="183" spans="1:26" ht="15" thickBot="1">
      <c r="A183" s="422"/>
      <c r="B183" s="422"/>
      <c r="C183" s="422"/>
      <c r="D183" s="422"/>
      <c r="E183" s="422"/>
      <c r="F183" s="422"/>
      <c r="G183" s="422"/>
      <c r="H183" s="422"/>
      <c r="I183" s="422"/>
      <c r="J183" s="422"/>
      <c r="K183" s="422"/>
      <c r="L183" s="422"/>
      <c r="M183" s="422"/>
      <c r="N183" s="422"/>
      <c r="O183" s="422"/>
      <c r="P183" s="422"/>
      <c r="Q183" s="422"/>
      <c r="R183" s="422"/>
      <c r="S183" s="422"/>
      <c r="T183" s="422"/>
      <c r="U183" s="422"/>
      <c r="V183" s="422"/>
      <c r="W183" s="422"/>
      <c r="X183" s="422"/>
      <c r="Y183" s="422"/>
      <c r="Z183" s="422"/>
    </row>
    <row r="184" spans="1:26" ht="15" thickBot="1">
      <c r="A184" s="422"/>
      <c r="B184" s="422"/>
      <c r="C184" s="422"/>
      <c r="D184" s="422"/>
      <c r="E184" s="422"/>
      <c r="F184" s="422"/>
      <c r="G184" s="422"/>
      <c r="H184" s="422"/>
      <c r="I184" s="422"/>
      <c r="J184" s="422"/>
      <c r="K184" s="422"/>
      <c r="L184" s="422"/>
      <c r="M184" s="422"/>
      <c r="N184" s="422"/>
      <c r="O184" s="422"/>
      <c r="P184" s="422"/>
      <c r="Q184" s="422"/>
      <c r="R184" s="422"/>
      <c r="S184" s="422"/>
      <c r="T184" s="422"/>
      <c r="U184" s="422"/>
      <c r="V184" s="422"/>
      <c r="W184" s="422"/>
      <c r="X184" s="422"/>
      <c r="Y184" s="422"/>
      <c r="Z184" s="422"/>
    </row>
    <row r="185" spans="1:26" ht="15" thickBot="1">
      <c r="A185" s="422"/>
      <c r="B185" s="422"/>
      <c r="C185" s="422"/>
      <c r="D185" s="422"/>
      <c r="E185" s="422"/>
      <c r="F185" s="422"/>
      <c r="G185" s="422"/>
      <c r="H185" s="422"/>
      <c r="I185" s="422"/>
      <c r="J185" s="422"/>
      <c r="K185" s="422"/>
      <c r="L185" s="422"/>
      <c r="M185" s="422"/>
      <c r="N185" s="422"/>
      <c r="O185" s="422"/>
      <c r="P185" s="422"/>
      <c r="Q185" s="422"/>
      <c r="R185" s="422"/>
      <c r="S185" s="422"/>
      <c r="T185" s="422"/>
      <c r="U185" s="422"/>
      <c r="V185" s="422"/>
      <c r="W185" s="422"/>
      <c r="X185" s="422"/>
      <c r="Y185" s="422"/>
      <c r="Z185" s="422"/>
    </row>
    <row r="186" spans="1:26" ht="15" thickBot="1">
      <c r="A186" s="422"/>
      <c r="B186" s="422"/>
      <c r="C186" s="422"/>
      <c r="D186" s="422"/>
      <c r="E186" s="422"/>
      <c r="F186" s="422"/>
      <c r="G186" s="422"/>
      <c r="H186" s="422"/>
      <c r="I186" s="422"/>
      <c r="J186" s="422"/>
      <c r="K186" s="422"/>
      <c r="L186" s="422"/>
      <c r="M186" s="422"/>
      <c r="N186" s="422"/>
      <c r="O186" s="422"/>
      <c r="P186" s="422"/>
      <c r="Q186" s="422"/>
      <c r="R186" s="422"/>
      <c r="S186" s="422"/>
      <c r="T186" s="422"/>
      <c r="U186" s="422"/>
      <c r="V186" s="422"/>
      <c r="W186" s="422"/>
      <c r="X186" s="422"/>
      <c r="Y186" s="422"/>
      <c r="Z186" s="422"/>
    </row>
    <row r="187" spans="1:26" ht="15" thickBot="1">
      <c r="A187" s="422"/>
      <c r="B187" s="422"/>
      <c r="C187" s="422"/>
      <c r="D187" s="422"/>
      <c r="E187" s="422"/>
      <c r="F187" s="422"/>
      <c r="G187" s="422"/>
      <c r="H187" s="422"/>
      <c r="I187" s="422"/>
      <c r="J187" s="422"/>
      <c r="K187" s="422"/>
      <c r="L187" s="422"/>
      <c r="M187" s="422"/>
      <c r="N187" s="422"/>
      <c r="O187" s="422"/>
      <c r="P187" s="422"/>
      <c r="Q187" s="422"/>
      <c r="R187" s="422"/>
      <c r="S187" s="422"/>
      <c r="T187" s="422"/>
      <c r="U187" s="422"/>
      <c r="V187" s="422"/>
      <c r="W187" s="422"/>
      <c r="X187" s="422"/>
      <c r="Y187" s="422"/>
      <c r="Z187" s="422"/>
    </row>
    <row r="188" spans="1:26" ht="15" thickBot="1">
      <c r="A188" s="422"/>
      <c r="B188" s="422"/>
      <c r="C188" s="422"/>
      <c r="D188" s="422"/>
      <c r="E188" s="422"/>
      <c r="F188" s="422"/>
      <c r="G188" s="422"/>
      <c r="H188" s="422"/>
      <c r="I188" s="422"/>
      <c r="J188" s="422"/>
      <c r="K188" s="422"/>
      <c r="L188" s="422"/>
      <c r="M188" s="422"/>
      <c r="N188" s="422"/>
      <c r="O188" s="422"/>
      <c r="P188" s="422"/>
      <c r="Q188" s="422"/>
      <c r="R188" s="422"/>
      <c r="S188" s="422"/>
      <c r="T188" s="422"/>
      <c r="U188" s="422"/>
      <c r="V188" s="422"/>
      <c r="W188" s="422"/>
      <c r="X188" s="422"/>
      <c r="Y188" s="422"/>
      <c r="Z188" s="422"/>
    </row>
    <row r="189" spans="1:26" ht="15" thickBot="1">
      <c r="A189" s="422"/>
      <c r="B189" s="422"/>
      <c r="C189" s="422"/>
      <c r="D189" s="422"/>
      <c r="E189" s="422"/>
      <c r="F189" s="422"/>
      <c r="G189" s="422"/>
      <c r="H189" s="422"/>
      <c r="I189" s="422"/>
      <c r="J189" s="422"/>
      <c r="K189" s="422"/>
      <c r="L189" s="422"/>
      <c r="M189" s="422"/>
      <c r="N189" s="422"/>
      <c r="O189" s="422"/>
      <c r="P189" s="422"/>
      <c r="Q189" s="422"/>
      <c r="R189" s="422"/>
      <c r="S189" s="422"/>
      <c r="T189" s="422"/>
      <c r="U189" s="422"/>
      <c r="V189" s="422"/>
      <c r="W189" s="422"/>
      <c r="X189" s="422"/>
      <c r="Y189" s="422"/>
      <c r="Z189" s="422"/>
    </row>
    <row r="190" spans="1:26" ht="15" thickBot="1">
      <c r="A190" s="422"/>
      <c r="B190" s="422"/>
      <c r="C190" s="422"/>
      <c r="D190" s="422"/>
      <c r="E190" s="422"/>
      <c r="F190" s="422"/>
      <c r="G190" s="422"/>
      <c r="H190" s="422"/>
      <c r="I190" s="422"/>
      <c r="J190" s="422"/>
      <c r="K190" s="422"/>
      <c r="L190" s="422"/>
      <c r="M190" s="422"/>
      <c r="N190" s="422"/>
      <c r="O190" s="422"/>
      <c r="P190" s="422"/>
      <c r="Q190" s="422"/>
      <c r="R190" s="422"/>
      <c r="S190" s="422"/>
      <c r="T190" s="422"/>
      <c r="U190" s="422"/>
      <c r="V190" s="422"/>
      <c r="W190" s="422"/>
      <c r="X190" s="422"/>
      <c r="Y190" s="422"/>
      <c r="Z190" s="422"/>
    </row>
    <row r="191" spans="1:26" ht="15" thickBot="1">
      <c r="A191" s="422"/>
      <c r="B191" s="422"/>
      <c r="C191" s="422"/>
      <c r="D191" s="422"/>
      <c r="E191" s="422"/>
      <c r="F191" s="422"/>
      <c r="G191" s="422"/>
      <c r="H191" s="422"/>
      <c r="I191" s="422"/>
      <c r="J191" s="422"/>
      <c r="K191" s="422"/>
      <c r="L191" s="422"/>
      <c r="M191" s="422"/>
      <c r="N191" s="422"/>
      <c r="O191" s="422"/>
      <c r="P191" s="422"/>
      <c r="Q191" s="422"/>
      <c r="R191" s="422"/>
      <c r="S191" s="422"/>
      <c r="T191" s="422"/>
      <c r="U191" s="422"/>
      <c r="V191" s="422"/>
      <c r="W191" s="422"/>
      <c r="X191" s="422"/>
      <c r="Y191" s="422"/>
      <c r="Z191" s="422"/>
    </row>
    <row r="192" spans="1:26" ht="15" thickBot="1">
      <c r="A192" s="422"/>
      <c r="B192" s="422"/>
      <c r="C192" s="422"/>
      <c r="D192" s="422"/>
      <c r="E192" s="422"/>
      <c r="F192" s="422"/>
      <c r="G192" s="422"/>
      <c r="H192" s="422"/>
      <c r="I192" s="422"/>
      <c r="J192" s="422"/>
      <c r="K192" s="422"/>
      <c r="L192" s="422"/>
      <c r="M192" s="422"/>
      <c r="N192" s="422"/>
      <c r="O192" s="422"/>
      <c r="P192" s="422"/>
      <c r="Q192" s="422"/>
      <c r="R192" s="422"/>
      <c r="S192" s="422"/>
      <c r="T192" s="422"/>
      <c r="U192" s="422"/>
      <c r="V192" s="422"/>
      <c r="W192" s="422"/>
      <c r="X192" s="422"/>
      <c r="Y192" s="422"/>
      <c r="Z192" s="422"/>
    </row>
    <row r="193" spans="1:26" ht="15" thickBot="1">
      <c r="A193" s="422"/>
      <c r="B193" s="422"/>
      <c r="C193" s="422"/>
      <c r="D193" s="422"/>
      <c r="E193" s="422"/>
      <c r="F193" s="422"/>
      <c r="G193" s="422"/>
      <c r="H193" s="422"/>
      <c r="I193" s="422"/>
      <c r="J193" s="422"/>
      <c r="K193" s="422"/>
      <c r="L193" s="422"/>
      <c r="M193" s="422"/>
      <c r="N193" s="422"/>
      <c r="O193" s="422"/>
      <c r="P193" s="422"/>
      <c r="Q193" s="422"/>
      <c r="R193" s="422"/>
      <c r="S193" s="422"/>
      <c r="T193" s="422"/>
      <c r="U193" s="422"/>
      <c r="V193" s="422"/>
      <c r="W193" s="422"/>
      <c r="X193" s="422"/>
      <c r="Y193" s="422"/>
      <c r="Z193" s="422"/>
    </row>
    <row r="194" spans="1:26" ht="15" thickBot="1">
      <c r="A194" s="422"/>
      <c r="B194" s="422"/>
      <c r="C194" s="422"/>
      <c r="D194" s="422"/>
      <c r="E194" s="422"/>
      <c r="F194" s="422"/>
      <c r="G194" s="422"/>
      <c r="H194" s="422"/>
      <c r="I194" s="422"/>
      <c r="J194" s="422"/>
      <c r="K194" s="422"/>
      <c r="L194" s="422"/>
      <c r="M194" s="422"/>
      <c r="N194" s="422"/>
      <c r="O194" s="422"/>
      <c r="P194" s="422"/>
      <c r="Q194" s="422"/>
      <c r="R194" s="422"/>
      <c r="S194" s="422"/>
      <c r="T194" s="422"/>
      <c r="U194" s="422"/>
      <c r="V194" s="422"/>
      <c r="W194" s="422"/>
      <c r="X194" s="422"/>
      <c r="Y194" s="422"/>
      <c r="Z194" s="422"/>
    </row>
    <row r="195" spans="1:26" ht="15" thickBot="1">
      <c r="A195" s="422"/>
      <c r="B195" s="422"/>
      <c r="C195" s="422"/>
      <c r="D195" s="422"/>
      <c r="E195" s="422"/>
      <c r="F195" s="422"/>
      <c r="G195" s="422"/>
      <c r="H195" s="422"/>
      <c r="I195" s="422"/>
      <c r="J195" s="422"/>
      <c r="K195" s="422"/>
      <c r="L195" s="422"/>
      <c r="M195" s="422"/>
      <c r="N195" s="422"/>
      <c r="O195" s="422"/>
      <c r="P195" s="422"/>
      <c r="Q195" s="422"/>
      <c r="R195" s="422"/>
      <c r="S195" s="422"/>
      <c r="T195" s="422"/>
      <c r="U195" s="422"/>
      <c r="V195" s="422"/>
      <c r="W195" s="422"/>
      <c r="X195" s="422"/>
      <c r="Y195" s="422"/>
      <c r="Z195" s="422"/>
    </row>
    <row r="196" spans="1:26" ht="15" thickBot="1">
      <c r="A196" s="422"/>
      <c r="B196" s="422"/>
      <c r="C196" s="422"/>
      <c r="D196" s="422"/>
      <c r="E196" s="422"/>
      <c r="F196" s="422"/>
      <c r="G196" s="422"/>
      <c r="H196" s="422"/>
      <c r="I196" s="422"/>
      <c r="J196" s="422"/>
      <c r="K196" s="422"/>
      <c r="L196" s="422"/>
      <c r="M196" s="422"/>
      <c r="N196" s="422"/>
      <c r="O196" s="422"/>
      <c r="P196" s="422"/>
      <c r="Q196" s="422"/>
      <c r="R196" s="422"/>
      <c r="S196" s="422"/>
      <c r="T196" s="422"/>
      <c r="U196" s="422"/>
      <c r="V196" s="422"/>
      <c r="W196" s="422"/>
      <c r="X196" s="422"/>
      <c r="Y196" s="422"/>
      <c r="Z196" s="422"/>
    </row>
    <row r="197" spans="1:26" ht="15" thickBot="1">
      <c r="A197" s="422"/>
      <c r="B197" s="422"/>
      <c r="C197" s="422"/>
      <c r="D197" s="422"/>
      <c r="E197" s="422"/>
      <c r="F197" s="422"/>
      <c r="G197" s="422"/>
      <c r="H197" s="422"/>
      <c r="I197" s="422"/>
      <c r="J197" s="422"/>
      <c r="K197" s="422"/>
      <c r="L197" s="422"/>
      <c r="M197" s="422"/>
      <c r="N197" s="422"/>
      <c r="O197" s="422"/>
      <c r="P197" s="422"/>
      <c r="Q197" s="422"/>
      <c r="R197" s="422"/>
      <c r="S197" s="422"/>
      <c r="T197" s="422"/>
      <c r="U197" s="422"/>
      <c r="V197" s="422"/>
      <c r="W197" s="422"/>
      <c r="X197" s="422"/>
      <c r="Y197" s="422"/>
      <c r="Z197" s="422"/>
    </row>
    <row r="198" spans="1:26" ht="15" thickBot="1">
      <c r="A198" s="422"/>
      <c r="B198" s="422"/>
      <c r="C198" s="422"/>
      <c r="D198" s="422"/>
      <c r="E198" s="422"/>
      <c r="F198" s="422"/>
      <c r="G198" s="422"/>
      <c r="H198" s="422"/>
      <c r="I198" s="422"/>
      <c r="J198" s="422"/>
      <c r="K198" s="422"/>
      <c r="L198" s="422"/>
      <c r="M198" s="422"/>
      <c r="N198" s="422"/>
      <c r="O198" s="422"/>
      <c r="P198" s="422"/>
      <c r="Q198" s="422"/>
      <c r="R198" s="422"/>
      <c r="S198" s="422"/>
      <c r="T198" s="422"/>
      <c r="U198" s="422"/>
      <c r="V198" s="422"/>
      <c r="W198" s="422"/>
      <c r="X198" s="422"/>
      <c r="Y198" s="422"/>
      <c r="Z198" s="422"/>
    </row>
    <row r="199" spans="1:26" ht="15" thickBot="1">
      <c r="A199" s="422"/>
      <c r="B199" s="422"/>
      <c r="C199" s="422"/>
      <c r="D199" s="422"/>
      <c r="E199" s="422"/>
      <c r="F199" s="422"/>
      <c r="G199" s="422"/>
      <c r="H199" s="422"/>
      <c r="I199" s="422"/>
      <c r="J199" s="422"/>
      <c r="K199" s="422"/>
      <c r="L199" s="422"/>
      <c r="M199" s="422"/>
      <c r="N199" s="422"/>
      <c r="O199" s="422"/>
      <c r="P199" s="422"/>
      <c r="Q199" s="422"/>
      <c r="R199" s="422"/>
      <c r="S199" s="422"/>
      <c r="T199" s="422"/>
      <c r="U199" s="422"/>
      <c r="V199" s="422"/>
      <c r="W199" s="422"/>
      <c r="X199" s="422"/>
      <c r="Y199" s="422"/>
      <c r="Z199" s="422"/>
    </row>
    <row r="200" spans="1:26" ht="15" thickBot="1">
      <c r="A200" s="422"/>
      <c r="B200" s="422"/>
      <c r="C200" s="422"/>
      <c r="D200" s="422"/>
      <c r="E200" s="422"/>
      <c r="F200" s="422"/>
      <c r="G200" s="422"/>
      <c r="H200" s="422"/>
      <c r="I200" s="422"/>
      <c r="J200" s="422"/>
      <c r="K200" s="422"/>
      <c r="L200" s="422"/>
      <c r="M200" s="422"/>
      <c r="N200" s="422"/>
      <c r="O200" s="422"/>
      <c r="P200" s="422"/>
      <c r="Q200" s="422"/>
      <c r="R200" s="422"/>
      <c r="S200" s="422"/>
      <c r="T200" s="422"/>
      <c r="U200" s="422"/>
      <c r="V200" s="422"/>
      <c r="W200" s="422"/>
      <c r="X200" s="422"/>
      <c r="Y200" s="422"/>
      <c r="Z200" s="422"/>
    </row>
    <row r="201" spans="1:26" ht="15" thickBot="1">
      <c r="A201" s="422"/>
      <c r="B201" s="422"/>
      <c r="C201" s="422"/>
      <c r="D201" s="422"/>
      <c r="E201" s="422"/>
      <c r="F201" s="422"/>
      <c r="G201" s="422"/>
      <c r="H201" s="422"/>
      <c r="I201" s="422"/>
      <c r="J201" s="422"/>
      <c r="K201" s="422"/>
      <c r="L201" s="422"/>
      <c r="M201" s="422"/>
      <c r="N201" s="422"/>
      <c r="O201" s="422"/>
      <c r="P201" s="422"/>
      <c r="Q201" s="422"/>
      <c r="R201" s="422"/>
      <c r="S201" s="422"/>
      <c r="T201" s="422"/>
      <c r="U201" s="422"/>
      <c r="V201" s="422"/>
      <c r="W201" s="422"/>
      <c r="X201" s="422"/>
      <c r="Y201" s="422"/>
      <c r="Z201" s="422"/>
    </row>
    <row r="202" spans="1:26" ht="15" thickBot="1">
      <c r="A202" s="422"/>
      <c r="B202" s="422"/>
      <c r="C202" s="422"/>
      <c r="D202" s="422"/>
      <c r="E202" s="422"/>
      <c r="F202" s="422"/>
      <c r="G202" s="422"/>
      <c r="H202" s="422"/>
      <c r="I202" s="422"/>
      <c r="J202" s="422"/>
      <c r="K202" s="422"/>
      <c r="L202" s="422"/>
      <c r="M202" s="422"/>
      <c r="N202" s="422"/>
      <c r="O202" s="422"/>
      <c r="P202" s="422"/>
      <c r="Q202" s="422"/>
      <c r="R202" s="422"/>
      <c r="S202" s="422"/>
      <c r="T202" s="422"/>
      <c r="U202" s="422"/>
      <c r="V202" s="422"/>
      <c r="W202" s="422"/>
      <c r="X202" s="422"/>
      <c r="Y202" s="422"/>
      <c r="Z202" s="422"/>
    </row>
    <row r="203" spans="1:26" ht="15" thickBot="1">
      <c r="A203" s="422"/>
      <c r="B203" s="422"/>
      <c r="C203" s="422"/>
      <c r="D203" s="422"/>
      <c r="E203" s="422"/>
      <c r="F203" s="422"/>
      <c r="G203" s="422"/>
      <c r="H203" s="422"/>
      <c r="I203" s="422"/>
      <c r="J203" s="422"/>
      <c r="K203" s="422"/>
      <c r="L203" s="422"/>
      <c r="M203" s="422"/>
      <c r="N203" s="422"/>
      <c r="O203" s="422"/>
      <c r="P203" s="422"/>
      <c r="Q203" s="422"/>
      <c r="R203" s="422"/>
      <c r="S203" s="422"/>
      <c r="T203" s="422"/>
      <c r="U203" s="422"/>
      <c r="V203" s="422"/>
      <c r="W203" s="422"/>
      <c r="X203" s="422"/>
      <c r="Y203" s="422"/>
      <c r="Z203" s="422"/>
    </row>
    <row r="204" spans="1:26" ht="15" thickBot="1">
      <c r="A204" s="422"/>
      <c r="B204" s="422"/>
      <c r="C204" s="422"/>
      <c r="D204" s="422"/>
      <c r="E204" s="422"/>
      <c r="F204" s="422"/>
      <c r="G204" s="422"/>
      <c r="H204" s="422"/>
      <c r="I204" s="422"/>
      <c r="J204" s="422"/>
      <c r="K204" s="422"/>
      <c r="L204" s="422"/>
      <c r="M204" s="422"/>
      <c r="N204" s="422"/>
      <c r="O204" s="422"/>
      <c r="P204" s="422"/>
      <c r="Q204" s="422"/>
      <c r="R204" s="422"/>
      <c r="S204" s="422"/>
      <c r="T204" s="422"/>
      <c r="U204" s="422"/>
      <c r="V204" s="422"/>
      <c r="W204" s="422"/>
      <c r="X204" s="422"/>
      <c r="Y204" s="422"/>
      <c r="Z204" s="422"/>
    </row>
    <row r="205" spans="1:26" ht="15" thickBot="1">
      <c r="A205" s="422"/>
      <c r="B205" s="422"/>
      <c r="C205" s="422"/>
      <c r="D205" s="422"/>
      <c r="E205" s="422"/>
      <c r="F205" s="422"/>
      <c r="G205" s="422"/>
      <c r="H205" s="422"/>
      <c r="I205" s="422"/>
      <c r="J205" s="422"/>
      <c r="K205" s="422"/>
      <c r="L205" s="422"/>
      <c r="M205" s="422"/>
      <c r="N205" s="422"/>
      <c r="O205" s="422"/>
      <c r="P205" s="422"/>
      <c r="Q205" s="422"/>
      <c r="R205" s="422"/>
      <c r="S205" s="422"/>
      <c r="T205" s="422"/>
      <c r="U205" s="422"/>
      <c r="V205" s="422"/>
      <c r="W205" s="422"/>
      <c r="X205" s="422"/>
      <c r="Y205" s="422"/>
      <c r="Z205" s="422"/>
    </row>
    <row r="206" spans="1:26" ht="15" thickBot="1">
      <c r="A206" s="422"/>
      <c r="B206" s="422"/>
      <c r="C206" s="422"/>
      <c r="D206" s="422"/>
      <c r="E206" s="422"/>
      <c r="F206" s="422"/>
      <c r="G206" s="422"/>
      <c r="H206" s="422"/>
      <c r="I206" s="422"/>
      <c r="J206" s="422"/>
      <c r="K206" s="422"/>
      <c r="L206" s="422"/>
      <c r="M206" s="422"/>
      <c r="N206" s="422"/>
      <c r="O206" s="422"/>
      <c r="P206" s="422"/>
      <c r="Q206" s="422"/>
      <c r="R206" s="422"/>
      <c r="S206" s="422"/>
      <c r="T206" s="422"/>
      <c r="U206" s="422"/>
      <c r="V206" s="422"/>
      <c r="W206" s="422"/>
      <c r="X206" s="422"/>
      <c r="Y206" s="422"/>
      <c r="Z206" s="422"/>
    </row>
    <row r="207" spans="1:26" ht="15" thickBot="1">
      <c r="A207" s="422"/>
      <c r="B207" s="422"/>
      <c r="C207" s="422"/>
      <c r="D207" s="422"/>
      <c r="E207" s="422"/>
      <c r="F207" s="422"/>
      <c r="G207" s="422"/>
      <c r="H207" s="422"/>
      <c r="I207" s="422"/>
      <c r="J207" s="422"/>
      <c r="K207" s="422"/>
      <c r="L207" s="422"/>
      <c r="M207" s="422"/>
      <c r="N207" s="422"/>
      <c r="O207" s="422"/>
      <c r="P207" s="422"/>
      <c r="Q207" s="422"/>
      <c r="R207" s="422"/>
      <c r="S207" s="422"/>
      <c r="T207" s="422"/>
      <c r="U207" s="422"/>
      <c r="V207" s="422"/>
      <c r="W207" s="422"/>
      <c r="X207" s="422"/>
      <c r="Y207" s="422"/>
      <c r="Z207" s="422"/>
    </row>
    <row r="208" spans="1:26" ht="15" thickBot="1">
      <c r="A208" s="422"/>
      <c r="B208" s="422"/>
      <c r="C208" s="422"/>
      <c r="D208" s="422"/>
      <c r="E208" s="422"/>
      <c r="F208" s="422"/>
      <c r="G208" s="422"/>
      <c r="H208" s="422"/>
      <c r="I208" s="422"/>
      <c r="J208" s="422"/>
      <c r="K208" s="422"/>
      <c r="L208" s="422"/>
      <c r="M208" s="422"/>
      <c r="N208" s="422"/>
      <c r="O208" s="422"/>
      <c r="P208" s="422"/>
      <c r="Q208" s="422"/>
      <c r="R208" s="422"/>
      <c r="S208" s="422"/>
      <c r="T208" s="422"/>
      <c r="U208" s="422"/>
      <c r="V208" s="422"/>
      <c r="W208" s="422"/>
      <c r="X208" s="422"/>
      <c r="Y208" s="422"/>
      <c r="Z208" s="422"/>
    </row>
    <row r="209" spans="1:26" ht="15" thickBot="1">
      <c r="A209" s="422"/>
      <c r="B209" s="422"/>
      <c r="C209" s="422"/>
      <c r="D209" s="422"/>
      <c r="E209" s="422"/>
      <c r="F209" s="422"/>
      <c r="G209" s="422"/>
      <c r="H209" s="422"/>
      <c r="I209" s="422"/>
      <c r="J209" s="422"/>
      <c r="K209" s="422"/>
      <c r="L209" s="422"/>
      <c r="M209" s="422"/>
      <c r="N209" s="422"/>
      <c r="O209" s="422"/>
      <c r="P209" s="422"/>
      <c r="Q209" s="422"/>
      <c r="R209" s="422"/>
      <c r="S209" s="422"/>
      <c r="T209" s="422"/>
      <c r="U209" s="422"/>
      <c r="V209" s="422"/>
      <c r="W209" s="422"/>
      <c r="X209" s="422"/>
      <c r="Y209" s="422"/>
      <c r="Z209" s="422"/>
    </row>
    <row r="210" spans="1:26" ht="15" thickBot="1">
      <c r="A210" s="422"/>
      <c r="B210" s="422"/>
      <c r="C210" s="422"/>
      <c r="D210" s="422"/>
      <c r="E210" s="422"/>
      <c r="F210" s="422"/>
      <c r="G210" s="422"/>
      <c r="H210" s="422"/>
      <c r="I210" s="422"/>
      <c r="J210" s="422"/>
      <c r="K210" s="422"/>
      <c r="L210" s="422"/>
      <c r="M210" s="422"/>
      <c r="N210" s="422"/>
      <c r="O210" s="422"/>
      <c r="P210" s="422"/>
      <c r="Q210" s="422"/>
      <c r="R210" s="422"/>
      <c r="S210" s="422"/>
      <c r="T210" s="422"/>
      <c r="U210" s="422"/>
      <c r="V210" s="422"/>
      <c r="W210" s="422"/>
      <c r="X210" s="422"/>
      <c r="Y210" s="422"/>
      <c r="Z210" s="422"/>
    </row>
    <row r="211" spans="1:26" ht="15" thickBot="1">
      <c r="A211" s="422"/>
      <c r="B211" s="422"/>
      <c r="C211" s="422"/>
      <c r="D211" s="422"/>
      <c r="E211" s="422"/>
      <c r="F211" s="422"/>
      <c r="G211" s="422"/>
      <c r="H211" s="422"/>
      <c r="I211" s="422"/>
      <c r="J211" s="422"/>
      <c r="K211" s="422"/>
      <c r="L211" s="422"/>
      <c r="M211" s="422"/>
      <c r="N211" s="422"/>
      <c r="O211" s="422"/>
      <c r="P211" s="422"/>
      <c r="Q211" s="422"/>
      <c r="R211" s="422"/>
      <c r="S211" s="422"/>
      <c r="T211" s="422"/>
      <c r="U211" s="422"/>
      <c r="V211" s="422"/>
      <c r="W211" s="422"/>
      <c r="X211" s="422"/>
      <c r="Y211" s="422"/>
      <c r="Z211" s="422"/>
    </row>
    <row r="212" spans="1:26" ht="15" thickBot="1">
      <c r="A212" s="422"/>
      <c r="B212" s="422"/>
      <c r="C212" s="422"/>
      <c r="D212" s="422"/>
      <c r="E212" s="422"/>
      <c r="F212" s="422"/>
      <c r="G212" s="422"/>
      <c r="H212" s="422"/>
      <c r="I212" s="422"/>
      <c r="J212" s="422"/>
      <c r="K212" s="422"/>
      <c r="L212" s="422"/>
      <c r="M212" s="422"/>
      <c r="N212" s="422"/>
      <c r="O212" s="422"/>
      <c r="P212" s="422"/>
      <c r="Q212" s="422"/>
      <c r="R212" s="422"/>
      <c r="S212" s="422"/>
      <c r="T212" s="422"/>
      <c r="U212" s="422"/>
      <c r="V212" s="422"/>
      <c r="W212" s="422"/>
      <c r="X212" s="422"/>
      <c r="Y212" s="422"/>
      <c r="Z212" s="422"/>
    </row>
    <row r="213" spans="1:26" ht="15" thickBot="1">
      <c r="A213" s="422"/>
      <c r="B213" s="422"/>
      <c r="C213" s="422"/>
      <c r="D213" s="422"/>
      <c r="E213" s="422"/>
      <c r="F213" s="422"/>
      <c r="G213" s="422"/>
      <c r="H213" s="422"/>
      <c r="I213" s="422"/>
      <c r="J213" s="422"/>
      <c r="K213" s="422"/>
      <c r="L213" s="422"/>
      <c r="M213" s="422"/>
      <c r="N213" s="422"/>
      <c r="O213" s="422"/>
      <c r="P213" s="422"/>
      <c r="Q213" s="422"/>
      <c r="R213" s="422"/>
      <c r="S213" s="422"/>
      <c r="T213" s="422"/>
      <c r="U213" s="422"/>
      <c r="V213" s="422"/>
      <c r="W213" s="422"/>
      <c r="X213" s="422"/>
      <c r="Y213" s="422"/>
      <c r="Z213" s="422"/>
    </row>
    <row r="214" spans="1:26" ht="15" thickBot="1">
      <c r="A214" s="422"/>
      <c r="B214" s="422"/>
      <c r="C214" s="422"/>
      <c r="D214" s="422"/>
      <c r="E214" s="422"/>
      <c r="F214" s="422"/>
      <c r="G214" s="422"/>
      <c r="H214" s="422"/>
      <c r="I214" s="422"/>
      <c r="J214" s="422"/>
      <c r="K214" s="422"/>
      <c r="L214" s="422"/>
      <c r="M214" s="422"/>
      <c r="N214" s="422"/>
      <c r="O214" s="422"/>
      <c r="P214" s="422"/>
      <c r="Q214" s="422"/>
      <c r="R214" s="422"/>
      <c r="S214" s="422"/>
      <c r="T214" s="422"/>
      <c r="U214" s="422"/>
      <c r="V214" s="422"/>
      <c r="W214" s="422"/>
      <c r="X214" s="422"/>
      <c r="Y214" s="422"/>
      <c r="Z214" s="422"/>
    </row>
    <row r="215" spans="1:26" ht="15" thickBot="1">
      <c r="A215" s="422"/>
      <c r="B215" s="422"/>
      <c r="C215" s="422"/>
      <c r="D215" s="422"/>
      <c r="E215" s="422"/>
      <c r="F215" s="422"/>
      <c r="G215" s="422"/>
      <c r="H215" s="422"/>
      <c r="I215" s="422"/>
      <c r="J215" s="422"/>
      <c r="K215" s="422"/>
      <c r="L215" s="422"/>
      <c r="M215" s="422"/>
      <c r="N215" s="422"/>
      <c r="O215" s="422"/>
      <c r="P215" s="422"/>
      <c r="Q215" s="422"/>
      <c r="R215" s="422"/>
      <c r="S215" s="422"/>
      <c r="T215" s="422"/>
      <c r="U215" s="422"/>
      <c r="V215" s="422"/>
      <c r="W215" s="422"/>
      <c r="X215" s="422"/>
      <c r="Y215" s="422"/>
      <c r="Z215" s="422"/>
    </row>
    <row r="216" spans="1:26" ht="15" thickBot="1">
      <c r="A216" s="422"/>
      <c r="B216" s="422"/>
      <c r="C216" s="422"/>
      <c r="D216" s="422"/>
      <c r="E216" s="422"/>
      <c r="F216" s="422"/>
      <c r="G216" s="422"/>
      <c r="H216" s="422"/>
      <c r="I216" s="422"/>
      <c r="J216" s="422"/>
      <c r="K216" s="422"/>
      <c r="L216" s="422"/>
      <c r="M216" s="422"/>
      <c r="N216" s="422"/>
      <c r="O216" s="422"/>
      <c r="P216" s="422"/>
      <c r="Q216" s="422"/>
      <c r="R216" s="422"/>
      <c r="S216" s="422"/>
      <c r="T216" s="422"/>
      <c r="U216" s="422"/>
      <c r="V216" s="422"/>
      <c r="W216" s="422"/>
      <c r="X216" s="422"/>
      <c r="Y216" s="422"/>
      <c r="Z216" s="422"/>
    </row>
    <row r="217" spans="1:26" ht="15" thickBot="1">
      <c r="A217" s="422"/>
      <c r="B217" s="422"/>
      <c r="C217" s="422"/>
      <c r="D217" s="422"/>
      <c r="E217" s="422"/>
      <c r="F217" s="422"/>
      <c r="G217" s="422"/>
      <c r="H217" s="422"/>
      <c r="I217" s="422"/>
      <c r="J217" s="422"/>
      <c r="K217" s="422"/>
      <c r="L217" s="422"/>
      <c r="M217" s="422"/>
      <c r="N217" s="422"/>
      <c r="O217" s="422"/>
      <c r="P217" s="422"/>
      <c r="Q217" s="422"/>
      <c r="R217" s="422"/>
      <c r="S217" s="422"/>
      <c r="T217" s="422"/>
      <c r="U217" s="422"/>
      <c r="V217" s="422"/>
      <c r="W217" s="422"/>
      <c r="X217" s="422"/>
      <c r="Y217" s="422"/>
      <c r="Z217" s="422"/>
    </row>
    <row r="218" spans="1:26" ht="15" thickBot="1">
      <c r="A218" s="422"/>
      <c r="B218" s="422"/>
      <c r="C218" s="422"/>
      <c r="D218" s="422"/>
      <c r="E218" s="422"/>
      <c r="F218" s="422"/>
      <c r="G218" s="422"/>
      <c r="H218" s="422"/>
      <c r="I218" s="422"/>
      <c r="J218" s="422"/>
      <c r="K218" s="422"/>
      <c r="L218" s="422"/>
      <c r="M218" s="422"/>
      <c r="N218" s="422"/>
      <c r="O218" s="422"/>
      <c r="P218" s="422"/>
      <c r="Q218" s="422"/>
      <c r="R218" s="422"/>
      <c r="S218" s="422"/>
      <c r="T218" s="422"/>
      <c r="U218" s="422"/>
      <c r="V218" s="422"/>
      <c r="W218" s="422"/>
      <c r="X218" s="422"/>
      <c r="Y218" s="422"/>
      <c r="Z218" s="422"/>
    </row>
    <row r="219" spans="1:26" ht="15" thickBot="1">
      <c r="A219" s="422"/>
      <c r="B219" s="422"/>
      <c r="C219" s="422"/>
      <c r="D219" s="422"/>
      <c r="E219" s="422"/>
      <c r="F219" s="422"/>
      <c r="G219" s="422"/>
      <c r="H219" s="422"/>
      <c r="I219" s="422"/>
      <c r="J219" s="422"/>
      <c r="K219" s="422"/>
      <c r="L219" s="422"/>
      <c r="M219" s="422"/>
      <c r="N219" s="422"/>
      <c r="O219" s="422"/>
      <c r="P219" s="422"/>
      <c r="Q219" s="422"/>
      <c r="R219" s="422"/>
      <c r="S219" s="422"/>
      <c r="T219" s="422"/>
      <c r="U219" s="422"/>
      <c r="V219" s="422"/>
      <c r="W219" s="422"/>
      <c r="X219" s="422"/>
      <c r="Y219" s="422"/>
      <c r="Z219" s="422"/>
    </row>
    <row r="220" spans="1:26" ht="15" thickBot="1">
      <c r="A220" s="422"/>
      <c r="B220" s="422"/>
      <c r="C220" s="422"/>
      <c r="D220" s="422"/>
      <c r="E220" s="422"/>
      <c r="F220" s="422"/>
      <c r="G220" s="422"/>
      <c r="H220" s="422"/>
      <c r="I220" s="422"/>
      <c r="J220" s="422"/>
      <c r="K220" s="422"/>
      <c r="L220" s="422"/>
      <c r="M220" s="422"/>
      <c r="N220" s="422"/>
      <c r="O220" s="422"/>
      <c r="P220" s="422"/>
      <c r="Q220" s="422"/>
      <c r="R220" s="422"/>
      <c r="S220" s="422"/>
      <c r="T220" s="422"/>
      <c r="U220" s="422"/>
      <c r="V220" s="422"/>
      <c r="W220" s="422"/>
      <c r="X220" s="422"/>
      <c r="Y220" s="422"/>
      <c r="Z220" s="422"/>
    </row>
    <row r="221" spans="1:26" ht="15" thickBot="1">
      <c r="A221" s="422"/>
      <c r="B221" s="422"/>
      <c r="C221" s="422"/>
      <c r="D221" s="422"/>
      <c r="E221" s="422"/>
      <c r="F221" s="422"/>
      <c r="G221" s="422"/>
      <c r="H221" s="422"/>
      <c r="I221" s="422"/>
      <c r="J221" s="422"/>
      <c r="K221" s="422"/>
      <c r="L221" s="422"/>
      <c r="M221" s="422"/>
      <c r="N221" s="422"/>
      <c r="O221" s="422"/>
      <c r="P221" s="422"/>
      <c r="Q221" s="422"/>
      <c r="R221" s="422"/>
      <c r="S221" s="422"/>
      <c r="T221" s="422"/>
      <c r="U221" s="422"/>
      <c r="V221" s="422"/>
      <c r="W221" s="422"/>
      <c r="X221" s="422"/>
      <c r="Y221" s="422"/>
      <c r="Z221" s="422"/>
    </row>
    <row r="222" spans="1:26" ht="15" thickBot="1">
      <c r="A222" s="422"/>
      <c r="B222" s="422"/>
      <c r="C222" s="422"/>
      <c r="D222" s="422"/>
      <c r="E222" s="422"/>
      <c r="F222" s="422"/>
      <c r="G222" s="422"/>
      <c r="H222" s="422"/>
      <c r="I222" s="422"/>
      <c r="J222" s="422"/>
      <c r="K222" s="422"/>
      <c r="L222" s="422"/>
      <c r="M222" s="422"/>
      <c r="N222" s="422"/>
      <c r="O222" s="422"/>
      <c r="P222" s="422"/>
      <c r="Q222" s="422"/>
      <c r="R222" s="422"/>
      <c r="S222" s="422"/>
      <c r="T222" s="422"/>
      <c r="U222" s="422"/>
      <c r="V222" s="422"/>
      <c r="W222" s="422"/>
      <c r="X222" s="422"/>
      <c r="Y222" s="422"/>
      <c r="Z222" s="422"/>
    </row>
    <row r="223" spans="1:26" ht="15" thickBot="1">
      <c r="A223" s="422"/>
      <c r="B223" s="422"/>
      <c r="C223" s="422"/>
      <c r="D223" s="422"/>
      <c r="E223" s="422"/>
      <c r="F223" s="422"/>
      <c r="G223" s="422"/>
      <c r="H223" s="422"/>
      <c r="I223" s="422"/>
      <c r="J223" s="422"/>
      <c r="K223" s="422"/>
      <c r="L223" s="422"/>
      <c r="M223" s="422"/>
      <c r="N223" s="422"/>
      <c r="O223" s="422"/>
      <c r="P223" s="422"/>
      <c r="Q223" s="422"/>
      <c r="R223" s="422"/>
      <c r="S223" s="422"/>
      <c r="T223" s="422"/>
      <c r="U223" s="422"/>
      <c r="V223" s="422"/>
      <c r="W223" s="422"/>
      <c r="X223" s="422"/>
      <c r="Y223" s="422"/>
      <c r="Z223" s="422"/>
    </row>
    <row r="224" spans="1:26" ht="15" thickBot="1">
      <c r="A224" s="422"/>
      <c r="B224" s="422"/>
      <c r="C224" s="422"/>
      <c r="D224" s="422"/>
      <c r="E224" s="422"/>
      <c r="F224" s="422"/>
      <c r="G224" s="422"/>
      <c r="H224" s="422"/>
      <c r="I224" s="422"/>
      <c r="J224" s="422"/>
      <c r="K224" s="422"/>
      <c r="L224" s="422"/>
      <c r="M224" s="422"/>
      <c r="N224" s="422"/>
      <c r="O224" s="422"/>
      <c r="P224" s="422"/>
      <c r="Q224" s="422"/>
      <c r="R224" s="422"/>
      <c r="S224" s="422"/>
      <c r="T224" s="422"/>
      <c r="U224" s="422"/>
      <c r="V224" s="422"/>
      <c r="W224" s="422"/>
      <c r="X224" s="422"/>
      <c r="Y224" s="422"/>
      <c r="Z224" s="422"/>
    </row>
    <row r="225" spans="1:26" ht="15" thickBot="1">
      <c r="A225" s="422"/>
      <c r="B225" s="422"/>
      <c r="C225" s="422"/>
      <c r="D225" s="422"/>
      <c r="E225" s="422"/>
      <c r="F225" s="422"/>
      <c r="G225" s="422"/>
      <c r="H225" s="422"/>
      <c r="I225" s="422"/>
      <c r="J225" s="422"/>
      <c r="K225" s="422"/>
      <c r="L225" s="422"/>
      <c r="M225" s="422"/>
      <c r="N225" s="422"/>
      <c r="O225" s="422"/>
      <c r="P225" s="422"/>
      <c r="Q225" s="422"/>
      <c r="R225" s="422"/>
      <c r="S225" s="422"/>
      <c r="T225" s="422"/>
      <c r="U225" s="422"/>
      <c r="V225" s="422"/>
      <c r="W225" s="422"/>
      <c r="X225" s="422"/>
      <c r="Y225" s="422"/>
      <c r="Z225" s="422"/>
    </row>
    <row r="226" spans="1:26" ht="15" thickBot="1">
      <c r="A226" s="422"/>
      <c r="B226" s="422"/>
      <c r="C226" s="422"/>
      <c r="D226" s="422"/>
      <c r="E226" s="422"/>
      <c r="F226" s="422"/>
      <c r="G226" s="422"/>
      <c r="H226" s="422"/>
      <c r="I226" s="422"/>
      <c r="J226" s="422"/>
      <c r="K226" s="422"/>
      <c r="L226" s="422"/>
      <c r="M226" s="422"/>
      <c r="N226" s="422"/>
      <c r="O226" s="422"/>
      <c r="P226" s="422"/>
      <c r="Q226" s="422"/>
      <c r="R226" s="422"/>
      <c r="S226" s="422"/>
      <c r="T226" s="422"/>
      <c r="U226" s="422"/>
      <c r="V226" s="422"/>
      <c r="W226" s="422"/>
      <c r="X226" s="422"/>
      <c r="Y226" s="422"/>
      <c r="Z226" s="422"/>
    </row>
    <row r="227" spans="1:26" ht="15" thickBot="1">
      <c r="A227" s="422"/>
      <c r="B227" s="422"/>
      <c r="C227" s="422"/>
      <c r="D227" s="422"/>
      <c r="E227" s="422"/>
      <c r="F227" s="422"/>
      <c r="G227" s="422"/>
      <c r="H227" s="422"/>
      <c r="I227" s="422"/>
      <c r="J227" s="422"/>
      <c r="K227" s="422"/>
      <c r="L227" s="422"/>
      <c r="M227" s="422"/>
      <c r="N227" s="422"/>
      <c r="O227" s="422"/>
      <c r="P227" s="422"/>
      <c r="Q227" s="422"/>
      <c r="R227" s="422"/>
      <c r="S227" s="422"/>
      <c r="T227" s="422"/>
      <c r="U227" s="422"/>
      <c r="V227" s="422"/>
      <c r="W227" s="422"/>
      <c r="X227" s="422"/>
      <c r="Y227" s="422"/>
      <c r="Z227" s="422"/>
    </row>
    <row r="228" spans="1:26" ht="15" thickBot="1">
      <c r="A228" s="422"/>
      <c r="B228" s="422"/>
      <c r="C228" s="422"/>
      <c r="D228" s="422"/>
      <c r="E228" s="422"/>
      <c r="F228" s="422"/>
      <c r="G228" s="422"/>
      <c r="H228" s="422"/>
      <c r="I228" s="422"/>
      <c r="J228" s="422"/>
      <c r="K228" s="422"/>
      <c r="L228" s="422"/>
      <c r="M228" s="422"/>
      <c r="N228" s="422"/>
      <c r="O228" s="422"/>
      <c r="P228" s="422"/>
      <c r="Q228" s="422"/>
      <c r="R228" s="422"/>
      <c r="S228" s="422"/>
      <c r="T228" s="422"/>
      <c r="U228" s="422"/>
      <c r="V228" s="422"/>
      <c r="W228" s="422"/>
      <c r="X228" s="422"/>
      <c r="Y228" s="422"/>
      <c r="Z228" s="422"/>
    </row>
    <row r="229" spans="1:26" ht="15" thickBot="1">
      <c r="A229" s="422"/>
      <c r="B229" s="422"/>
      <c r="C229" s="422"/>
      <c r="D229" s="422"/>
      <c r="E229" s="422"/>
      <c r="F229" s="422"/>
      <c r="G229" s="422"/>
      <c r="H229" s="422"/>
      <c r="I229" s="422"/>
      <c r="J229" s="422"/>
      <c r="K229" s="422"/>
      <c r="L229" s="422"/>
      <c r="M229" s="422"/>
      <c r="N229" s="422"/>
      <c r="O229" s="422"/>
      <c r="P229" s="422"/>
      <c r="Q229" s="422"/>
      <c r="R229" s="422"/>
      <c r="S229" s="422"/>
      <c r="T229" s="422"/>
      <c r="U229" s="422"/>
      <c r="V229" s="422"/>
      <c r="W229" s="422"/>
      <c r="X229" s="422"/>
      <c r="Y229" s="422"/>
      <c r="Z229" s="422"/>
    </row>
    <row r="230" spans="1:26" ht="15" thickBot="1">
      <c r="A230" s="422"/>
      <c r="B230" s="422"/>
      <c r="C230" s="422"/>
      <c r="D230" s="422"/>
      <c r="E230" s="422"/>
      <c r="F230" s="422"/>
      <c r="G230" s="422"/>
      <c r="H230" s="422"/>
      <c r="I230" s="422"/>
      <c r="J230" s="422"/>
      <c r="K230" s="422"/>
      <c r="L230" s="422"/>
      <c r="M230" s="422"/>
      <c r="N230" s="422"/>
      <c r="O230" s="422"/>
      <c r="P230" s="422"/>
      <c r="Q230" s="422"/>
      <c r="R230" s="422"/>
      <c r="S230" s="422"/>
      <c r="T230" s="422"/>
      <c r="U230" s="422"/>
      <c r="V230" s="422"/>
      <c r="W230" s="422"/>
      <c r="X230" s="422"/>
      <c r="Y230" s="422"/>
      <c r="Z230" s="422"/>
    </row>
    <row r="231" spans="1:26" ht="15" thickBot="1">
      <c r="A231" s="422"/>
      <c r="B231" s="422"/>
      <c r="C231" s="422"/>
      <c r="D231" s="422"/>
      <c r="E231" s="422"/>
      <c r="F231" s="422"/>
      <c r="G231" s="422"/>
      <c r="H231" s="422"/>
      <c r="I231" s="422"/>
      <c r="J231" s="422"/>
      <c r="K231" s="422"/>
      <c r="L231" s="422"/>
      <c r="M231" s="422"/>
      <c r="N231" s="422"/>
      <c r="O231" s="422"/>
      <c r="P231" s="422"/>
      <c r="Q231" s="422"/>
      <c r="R231" s="422"/>
      <c r="S231" s="422"/>
      <c r="T231" s="422"/>
      <c r="U231" s="422"/>
      <c r="V231" s="422"/>
      <c r="W231" s="422"/>
      <c r="X231" s="422"/>
      <c r="Y231" s="422"/>
      <c r="Z231" s="422"/>
    </row>
    <row r="232" spans="1:26" ht="15" thickBot="1">
      <c r="A232" s="422"/>
      <c r="B232" s="422"/>
      <c r="C232" s="422"/>
      <c r="D232" s="422"/>
      <c r="E232" s="422"/>
      <c r="F232" s="422"/>
      <c r="G232" s="422"/>
      <c r="H232" s="422"/>
      <c r="I232" s="422"/>
      <c r="J232" s="422"/>
      <c r="K232" s="422"/>
      <c r="L232" s="422"/>
      <c r="M232" s="422"/>
      <c r="N232" s="422"/>
      <c r="O232" s="422"/>
      <c r="P232" s="422"/>
      <c r="Q232" s="422"/>
      <c r="R232" s="422"/>
      <c r="S232" s="422"/>
      <c r="T232" s="422"/>
      <c r="U232" s="422"/>
      <c r="V232" s="422"/>
      <c r="W232" s="422"/>
      <c r="X232" s="422"/>
      <c r="Y232" s="422"/>
      <c r="Z232" s="422"/>
    </row>
    <row r="233" spans="1:26" ht="15" thickBot="1">
      <c r="A233" s="422"/>
      <c r="B233" s="422"/>
      <c r="C233" s="422"/>
      <c r="D233" s="422"/>
      <c r="E233" s="422"/>
      <c r="F233" s="422"/>
      <c r="G233" s="422"/>
      <c r="H233" s="422"/>
      <c r="I233" s="422"/>
      <c r="J233" s="422"/>
      <c r="K233" s="422"/>
      <c r="L233" s="422"/>
      <c r="M233" s="422"/>
      <c r="N233" s="422"/>
      <c r="O233" s="422"/>
      <c r="P233" s="422"/>
      <c r="Q233" s="422"/>
      <c r="R233" s="422"/>
      <c r="S233" s="422"/>
      <c r="T233" s="422"/>
      <c r="U233" s="422"/>
      <c r="V233" s="422"/>
      <c r="W233" s="422"/>
      <c r="X233" s="422"/>
      <c r="Y233" s="422"/>
      <c r="Z233" s="422"/>
    </row>
    <row r="234" spans="1:26" ht="15" thickBot="1">
      <c r="A234" s="422"/>
      <c r="B234" s="422"/>
      <c r="C234" s="422"/>
      <c r="D234" s="422"/>
      <c r="E234" s="422"/>
      <c r="F234" s="422"/>
      <c r="G234" s="422"/>
      <c r="H234" s="422"/>
      <c r="I234" s="422"/>
      <c r="J234" s="422"/>
      <c r="K234" s="422"/>
      <c r="L234" s="422"/>
      <c r="M234" s="422"/>
      <c r="N234" s="422"/>
      <c r="O234" s="422"/>
      <c r="P234" s="422"/>
      <c r="Q234" s="422"/>
      <c r="R234" s="422"/>
      <c r="S234" s="422"/>
      <c r="T234" s="422"/>
      <c r="U234" s="422"/>
      <c r="V234" s="422"/>
      <c r="W234" s="422"/>
      <c r="X234" s="422"/>
      <c r="Y234" s="422"/>
      <c r="Z234" s="422"/>
    </row>
    <row r="235" spans="1:26" ht="15" thickBot="1">
      <c r="A235" s="422"/>
      <c r="B235" s="422"/>
      <c r="C235" s="422"/>
      <c r="D235" s="422"/>
      <c r="E235" s="422"/>
      <c r="F235" s="422"/>
      <c r="G235" s="422"/>
      <c r="H235" s="422"/>
      <c r="I235" s="422"/>
      <c r="J235" s="422"/>
      <c r="K235" s="422"/>
      <c r="L235" s="422"/>
      <c r="M235" s="422"/>
      <c r="N235" s="422"/>
      <c r="O235" s="422"/>
      <c r="P235" s="422"/>
      <c r="Q235" s="422"/>
      <c r="R235" s="422"/>
      <c r="S235" s="422"/>
      <c r="T235" s="422"/>
      <c r="U235" s="422"/>
      <c r="V235" s="422"/>
      <c r="W235" s="422"/>
      <c r="X235" s="422"/>
      <c r="Y235" s="422"/>
      <c r="Z235" s="422"/>
    </row>
    <row r="236" spans="1:26" ht="15" thickBot="1">
      <c r="A236" s="422"/>
      <c r="B236" s="422"/>
      <c r="C236" s="422"/>
      <c r="D236" s="422"/>
      <c r="E236" s="422"/>
      <c r="F236" s="422"/>
      <c r="G236" s="422"/>
      <c r="H236" s="422"/>
      <c r="I236" s="422"/>
      <c r="J236" s="422"/>
      <c r="K236" s="422"/>
      <c r="L236" s="422"/>
      <c r="M236" s="422"/>
      <c r="N236" s="422"/>
      <c r="O236" s="422"/>
      <c r="P236" s="422"/>
      <c r="Q236" s="422"/>
      <c r="R236" s="422"/>
      <c r="S236" s="422"/>
      <c r="T236" s="422"/>
      <c r="U236" s="422"/>
      <c r="V236" s="422"/>
      <c r="W236" s="422"/>
      <c r="X236" s="422"/>
      <c r="Y236" s="422"/>
      <c r="Z236" s="422"/>
    </row>
    <row r="237" spans="1:26" ht="15" thickBot="1">
      <c r="A237" s="422"/>
      <c r="B237" s="422"/>
      <c r="C237" s="422"/>
      <c r="D237" s="422"/>
      <c r="E237" s="422"/>
      <c r="F237" s="422"/>
      <c r="G237" s="422"/>
      <c r="H237" s="422"/>
      <c r="I237" s="422"/>
      <c r="J237" s="422"/>
      <c r="K237" s="422"/>
      <c r="L237" s="422"/>
      <c r="M237" s="422"/>
      <c r="N237" s="422"/>
      <c r="O237" s="422"/>
      <c r="P237" s="422"/>
      <c r="Q237" s="422"/>
      <c r="R237" s="422"/>
      <c r="S237" s="422"/>
      <c r="T237" s="422"/>
      <c r="U237" s="422"/>
      <c r="V237" s="422"/>
      <c r="W237" s="422"/>
      <c r="X237" s="422"/>
      <c r="Y237" s="422"/>
      <c r="Z237" s="422"/>
    </row>
    <row r="238" spans="1:26" ht="15" thickBot="1">
      <c r="A238" s="422"/>
      <c r="B238" s="422"/>
      <c r="C238" s="422"/>
      <c r="D238" s="422"/>
      <c r="E238" s="422"/>
      <c r="F238" s="422"/>
      <c r="G238" s="422"/>
      <c r="H238" s="422"/>
      <c r="I238" s="422"/>
      <c r="J238" s="422"/>
      <c r="K238" s="422"/>
      <c r="L238" s="422"/>
      <c r="M238" s="422"/>
      <c r="N238" s="422"/>
      <c r="O238" s="422"/>
      <c r="P238" s="422"/>
      <c r="Q238" s="422"/>
      <c r="R238" s="422"/>
      <c r="S238" s="422"/>
      <c r="T238" s="422"/>
      <c r="U238" s="422"/>
      <c r="V238" s="422"/>
      <c r="W238" s="422"/>
      <c r="X238" s="422"/>
      <c r="Y238" s="422"/>
      <c r="Z238" s="422"/>
    </row>
    <row r="239" spans="1:26" ht="15" thickBot="1">
      <c r="A239" s="422"/>
      <c r="B239" s="422"/>
      <c r="C239" s="422"/>
      <c r="D239" s="422"/>
      <c r="E239" s="422"/>
      <c r="F239" s="422"/>
      <c r="G239" s="422"/>
      <c r="H239" s="422"/>
      <c r="I239" s="422"/>
      <c r="J239" s="422"/>
      <c r="K239" s="422"/>
      <c r="L239" s="422"/>
      <c r="M239" s="422"/>
      <c r="N239" s="422"/>
      <c r="O239" s="422"/>
      <c r="P239" s="422"/>
      <c r="Q239" s="422"/>
      <c r="R239" s="422"/>
      <c r="S239" s="422"/>
      <c r="T239" s="422"/>
      <c r="U239" s="422"/>
      <c r="V239" s="422"/>
      <c r="W239" s="422"/>
      <c r="X239" s="422"/>
      <c r="Y239" s="422"/>
      <c r="Z239" s="422"/>
    </row>
    <row r="240" spans="1:26" ht="15" thickBot="1">
      <c r="A240" s="422"/>
      <c r="B240" s="422"/>
      <c r="C240" s="422"/>
      <c r="D240" s="422"/>
      <c r="E240" s="422"/>
      <c r="F240" s="422"/>
      <c r="G240" s="422"/>
      <c r="H240" s="422"/>
      <c r="I240" s="422"/>
      <c r="J240" s="422"/>
      <c r="K240" s="422"/>
      <c r="L240" s="422"/>
      <c r="M240" s="422"/>
      <c r="N240" s="422"/>
      <c r="O240" s="422"/>
      <c r="P240" s="422"/>
      <c r="Q240" s="422"/>
      <c r="R240" s="422"/>
      <c r="S240" s="422"/>
      <c r="T240" s="422"/>
      <c r="U240" s="422"/>
      <c r="V240" s="422"/>
      <c r="W240" s="422"/>
      <c r="X240" s="422"/>
      <c r="Y240" s="422"/>
      <c r="Z240" s="422"/>
    </row>
    <row r="241" spans="1:26" ht="15" thickBot="1">
      <c r="A241" s="422"/>
      <c r="B241" s="422"/>
      <c r="C241" s="422"/>
      <c r="D241" s="422"/>
      <c r="E241" s="422"/>
      <c r="F241" s="422"/>
      <c r="G241" s="422"/>
      <c r="H241" s="422"/>
      <c r="I241" s="422"/>
      <c r="J241" s="422"/>
      <c r="K241" s="422"/>
      <c r="L241" s="422"/>
      <c r="M241" s="422"/>
      <c r="N241" s="422"/>
      <c r="O241" s="422"/>
      <c r="P241" s="422"/>
      <c r="Q241" s="422"/>
      <c r="R241" s="422"/>
      <c r="S241" s="422"/>
      <c r="T241" s="422"/>
      <c r="U241" s="422"/>
      <c r="V241" s="422"/>
      <c r="W241" s="422"/>
      <c r="X241" s="422"/>
      <c r="Y241" s="422"/>
      <c r="Z241" s="422"/>
    </row>
    <row r="242" spans="1:26" ht="15" thickBot="1">
      <c r="A242" s="422"/>
      <c r="B242" s="422"/>
      <c r="C242" s="422"/>
      <c r="D242" s="422"/>
      <c r="E242" s="422"/>
      <c r="F242" s="422"/>
      <c r="G242" s="422"/>
      <c r="H242" s="422"/>
      <c r="I242" s="422"/>
      <c r="J242" s="422"/>
      <c r="K242" s="422"/>
      <c r="L242" s="422"/>
      <c r="M242" s="422"/>
      <c r="N242" s="422"/>
      <c r="O242" s="422"/>
      <c r="P242" s="422"/>
      <c r="Q242" s="422"/>
      <c r="R242" s="422"/>
      <c r="S242" s="422"/>
      <c r="T242" s="422"/>
      <c r="U242" s="422"/>
      <c r="V242" s="422"/>
      <c r="W242" s="422"/>
      <c r="X242" s="422"/>
      <c r="Y242" s="422"/>
      <c r="Z242" s="422"/>
    </row>
    <row r="243" spans="1:26" ht="15" thickBot="1">
      <c r="A243" s="422"/>
      <c r="B243" s="422"/>
      <c r="C243" s="422"/>
      <c r="D243" s="422"/>
      <c r="E243" s="422"/>
      <c r="F243" s="422"/>
      <c r="G243" s="422"/>
      <c r="H243" s="422"/>
      <c r="I243" s="422"/>
      <c r="J243" s="422"/>
      <c r="K243" s="422"/>
      <c r="L243" s="422"/>
      <c r="M243" s="422"/>
      <c r="N243" s="422"/>
      <c r="O243" s="422"/>
      <c r="P243" s="422"/>
      <c r="Q243" s="422"/>
      <c r="R243" s="422"/>
      <c r="S243" s="422"/>
      <c r="T243" s="422"/>
      <c r="U243" s="422"/>
      <c r="V243" s="422"/>
      <c r="W243" s="422"/>
      <c r="X243" s="422"/>
      <c r="Y243" s="422"/>
      <c r="Z243" s="422"/>
    </row>
    <row r="244" spans="1:26" ht="15" thickBot="1">
      <c r="A244" s="422"/>
      <c r="B244" s="422"/>
      <c r="C244" s="422"/>
      <c r="D244" s="422"/>
      <c r="E244" s="422"/>
      <c r="F244" s="422"/>
      <c r="G244" s="422"/>
      <c r="H244" s="422"/>
      <c r="I244" s="422"/>
      <c r="J244" s="422"/>
      <c r="K244" s="422"/>
      <c r="L244" s="422"/>
      <c r="M244" s="422"/>
      <c r="N244" s="422"/>
      <c r="O244" s="422"/>
      <c r="P244" s="422"/>
      <c r="Q244" s="422"/>
      <c r="R244" s="422"/>
      <c r="S244" s="422"/>
      <c r="T244" s="422"/>
      <c r="U244" s="422"/>
      <c r="V244" s="422"/>
      <c r="W244" s="422"/>
      <c r="X244" s="422"/>
      <c r="Y244" s="422"/>
      <c r="Z244" s="422"/>
    </row>
    <row r="245" spans="1:26" ht="15" thickBot="1">
      <c r="A245" s="422"/>
      <c r="B245" s="422"/>
      <c r="C245" s="422"/>
      <c r="D245" s="422"/>
      <c r="E245" s="422"/>
      <c r="F245" s="422"/>
      <c r="G245" s="422"/>
      <c r="H245" s="422"/>
      <c r="I245" s="422"/>
      <c r="J245" s="422"/>
      <c r="K245" s="422"/>
      <c r="L245" s="422"/>
      <c r="M245" s="422"/>
      <c r="N245" s="422"/>
      <c r="O245" s="422"/>
      <c r="P245" s="422"/>
      <c r="Q245" s="422"/>
      <c r="R245" s="422"/>
      <c r="S245" s="422"/>
      <c r="T245" s="422"/>
      <c r="U245" s="422"/>
      <c r="V245" s="422"/>
      <c r="W245" s="422"/>
      <c r="X245" s="422"/>
      <c r="Y245" s="422"/>
      <c r="Z245" s="422"/>
    </row>
    <row r="246" spans="1:26" ht="15" thickBot="1">
      <c r="A246" s="422"/>
      <c r="B246" s="422"/>
      <c r="C246" s="422"/>
      <c r="D246" s="422"/>
      <c r="E246" s="422"/>
      <c r="F246" s="422"/>
      <c r="G246" s="422"/>
      <c r="H246" s="422"/>
      <c r="I246" s="422"/>
      <c r="J246" s="422"/>
      <c r="K246" s="422"/>
      <c r="L246" s="422"/>
      <c r="M246" s="422"/>
      <c r="N246" s="422"/>
      <c r="O246" s="422"/>
      <c r="P246" s="422"/>
      <c r="Q246" s="422"/>
      <c r="R246" s="422"/>
      <c r="S246" s="422"/>
      <c r="T246" s="422"/>
      <c r="U246" s="422"/>
      <c r="V246" s="422"/>
      <c r="W246" s="422"/>
      <c r="X246" s="422"/>
      <c r="Y246" s="422"/>
      <c r="Z246" s="422"/>
    </row>
    <row r="247" spans="1:26" ht="15" thickBot="1">
      <c r="A247" s="422"/>
      <c r="B247" s="422"/>
      <c r="C247" s="422"/>
      <c r="D247" s="422"/>
      <c r="E247" s="422"/>
      <c r="F247" s="422"/>
      <c r="G247" s="422"/>
      <c r="H247" s="422"/>
      <c r="I247" s="422"/>
      <c r="J247" s="422"/>
      <c r="K247" s="422"/>
      <c r="L247" s="422"/>
      <c r="M247" s="422"/>
      <c r="N247" s="422"/>
      <c r="O247" s="422"/>
      <c r="P247" s="422"/>
      <c r="Q247" s="422"/>
      <c r="R247" s="422"/>
      <c r="S247" s="422"/>
      <c r="T247" s="422"/>
      <c r="U247" s="422"/>
      <c r="V247" s="422"/>
      <c r="W247" s="422"/>
      <c r="X247" s="422"/>
      <c r="Y247" s="422"/>
      <c r="Z247" s="422"/>
    </row>
    <row r="248" spans="1:26" ht="15" thickBot="1">
      <c r="A248" s="422"/>
      <c r="B248" s="422"/>
      <c r="C248" s="422"/>
      <c r="D248" s="422"/>
      <c r="E248" s="422"/>
      <c r="F248" s="422"/>
      <c r="G248" s="422"/>
      <c r="H248" s="422"/>
      <c r="I248" s="422"/>
      <c r="J248" s="422"/>
      <c r="K248" s="422"/>
      <c r="L248" s="422"/>
      <c r="M248" s="422"/>
      <c r="N248" s="422"/>
      <c r="O248" s="422"/>
      <c r="P248" s="422"/>
      <c r="Q248" s="422"/>
      <c r="R248" s="422"/>
      <c r="S248" s="422"/>
      <c r="T248" s="422"/>
      <c r="U248" s="422"/>
      <c r="V248" s="422"/>
      <c r="W248" s="422"/>
      <c r="X248" s="422"/>
      <c r="Y248" s="422"/>
      <c r="Z248" s="422"/>
    </row>
    <row r="249" spans="1:26" ht="15" thickBot="1">
      <c r="A249" s="422"/>
      <c r="B249" s="422"/>
      <c r="C249" s="422"/>
      <c r="D249" s="422"/>
      <c r="E249" s="422"/>
      <c r="F249" s="422"/>
      <c r="G249" s="422"/>
      <c r="H249" s="422"/>
      <c r="I249" s="422"/>
      <c r="J249" s="422"/>
      <c r="K249" s="422"/>
      <c r="L249" s="422"/>
      <c r="M249" s="422"/>
      <c r="N249" s="422"/>
      <c r="O249" s="422"/>
      <c r="P249" s="422"/>
      <c r="Q249" s="422"/>
      <c r="R249" s="422"/>
      <c r="S249" s="422"/>
      <c r="T249" s="422"/>
      <c r="U249" s="422"/>
      <c r="V249" s="422"/>
      <c r="W249" s="422"/>
      <c r="X249" s="422"/>
      <c r="Y249" s="422"/>
      <c r="Z249" s="422"/>
    </row>
    <row r="250" spans="1:26" ht="15" thickBot="1">
      <c r="A250" s="422"/>
      <c r="B250" s="422"/>
      <c r="C250" s="422"/>
      <c r="D250" s="422"/>
      <c r="E250" s="422"/>
      <c r="F250" s="422"/>
      <c r="G250" s="422"/>
      <c r="H250" s="422"/>
      <c r="I250" s="422"/>
      <c r="J250" s="422"/>
      <c r="K250" s="422"/>
      <c r="L250" s="422"/>
      <c r="M250" s="422"/>
      <c r="N250" s="422"/>
      <c r="O250" s="422"/>
      <c r="P250" s="422"/>
      <c r="Q250" s="422"/>
      <c r="R250" s="422"/>
      <c r="S250" s="422"/>
      <c r="T250" s="422"/>
      <c r="U250" s="422"/>
      <c r="V250" s="422"/>
      <c r="W250" s="422"/>
      <c r="X250" s="422"/>
      <c r="Y250" s="422"/>
      <c r="Z250" s="422"/>
    </row>
    <row r="251" spans="1:26" ht="15" thickBot="1">
      <c r="A251" s="422"/>
      <c r="B251" s="422"/>
      <c r="C251" s="422"/>
      <c r="D251" s="422"/>
      <c r="E251" s="422"/>
      <c r="F251" s="422"/>
      <c r="G251" s="422"/>
      <c r="H251" s="422"/>
      <c r="I251" s="422"/>
      <c r="J251" s="422"/>
      <c r="K251" s="422"/>
      <c r="L251" s="422"/>
      <c r="M251" s="422"/>
      <c r="N251" s="422"/>
      <c r="O251" s="422"/>
      <c r="P251" s="422"/>
      <c r="Q251" s="422"/>
      <c r="R251" s="422"/>
      <c r="S251" s="422"/>
      <c r="T251" s="422"/>
      <c r="U251" s="422"/>
      <c r="V251" s="422"/>
      <c r="W251" s="422"/>
      <c r="X251" s="422"/>
      <c r="Y251" s="422"/>
      <c r="Z251" s="422"/>
    </row>
    <row r="252" spans="1:26" ht="15" thickBot="1">
      <c r="A252" s="422"/>
      <c r="B252" s="422"/>
      <c r="C252" s="422"/>
      <c r="D252" s="422"/>
      <c r="E252" s="422"/>
      <c r="F252" s="422"/>
      <c r="G252" s="422"/>
      <c r="H252" s="422"/>
      <c r="I252" s="422"/>
      <c r="J252" s="422"/>
      <c r="K252" s="422"/>
      <c r="L252" s="422"/>
      <c r="M252" s="422"/>
      <c r="N252" s="422"/>
      <c r="O252" s="422"/>
      <c r="P252" s="422"/>
      <c r="Q252" s="422"/>
      <c r="R252" s="422"/>
      <c r="S252" s="422"/>
      <c r="T252" s="422"/>
      <c r="U252" s="422"/>
      <c r="V252" s="422"/>
      <c r="W252" s="422"/>
      <c r="X252" s="422"/>
      <c r="Y252" s="422"/>
      <c r="Z252" s="422"/>
    </row>
    <row r="253" spans="1:26" ht="15" thickBot="1">
      <c r="A253" s="422"/>
      <c r="B253" s="422"/>
      <c r="C253" s="422"/>
      <c r="D253" s="422"/>
      <c r="E253" s="422"/>
      <c r="F253" s="422"/>
      <c r="G253" s="422"/>
      <c r="H253" s="422"/>
      <c r="I253" s="422"/>
      <c r="J253" s="422"/>
      <c r="K253" s="422"/>
      <c r="L253" s="422"/>
      <c r="M253" s="422"/>
      <c r="N253" s="422"/>
      <c r="O253" s="422"/>
      <c r="P253" s="422"/>
      <c r="Q253" s="422"/>
      <c r="R253" s="422"/>
      <c r="S253" s="422"/>
      <c r="T253" s="422"/>
      <c r="U253" s="422"/>
      <c r="V253" s="422"/>
      <c r="W253" s="422"/>
      <c r="X253" s="422"/>
      <c r="Y253" s="422"/>
      <c r="Z253" s="422"/>
    </row>
    <row r="254" spans="1:26" ht="15" thickBot="1">
      <c r="A254" s="422"/>
      <c r="B254" s="422"/>
      <c r="C254" s="422"/>
      <c r="D254" s="422"/>
      <c r="E254" s="422"/>
      <c r="F254" s="422"/>
      <c r="G254" s="422"/>
      <c r="H254" s="422"/>
      <c r="I254" s="422"/>
      <c r="J254" s="422"/>
      <c r="K254" s="422"/>
      <c r="L254" s="422"/>
      <c r="M254" s="422"/>
      <c r="N254" s="422"/>
      <c r="O254" s="422"/>
      <c r="P254" s="422"/>
      <c r="Q254" s="422"/>
      <c r="R254" s="422"/>
      <c r="S254" s="422"/>
      <c r="T254" s="422"/>
      <c r="U254" s="422"/>
      <c r="V254" s="422"/>
      <c r="W254" s="422"/>
      <c r="X254" s="422"/>
      <c r="Y254" s="422"/>
      <c r="Z254" s="422"/>
    </row>
    <row r="255" spans="1:26" ht="15" thickBot="1">
      <c r="A255" s="422"/>
      <c r="B255" s="422"/>
      <c r="C255" s="422"/>
      <c r="D255" s="422"/>
      <c r="E255" s="422"/>
      <c r="F255" s="422"/>
      <c r="G255" s="422"/>
      <c r="H255" s="422"/>
      <c r="I255" s="422"/>
      <c r="J255" s="422"/>
      <c r="K255" s="422"/>
      <c r="L255" s="422"/>
      <c r="M255" s="422"/>
      <c r="N255" s="422"/>
      <c r="O255" s="422"/>
      <c r="P255" s="422"/>
      <c r="Q255" s="422"/>
      <c r="R255" s="422"/>
      <c r="S255" s="422"/>
      <c r="T255" s="422"/>
      <c r="U255" s="422"/>
      <c r="V255" s="422"/>
      <c r="W255" s="422"/>
      <c r="X255" s="422"/>
      <c r="Y255" s="422"/>
      <c r="Z255" s="422"/>
    </row>
    <row r="256" spans="1:26" ht="15" thickBot="1">
      <c r="A256" s="422"/>
      <c r="B256" s="422"/>
      <c r="C256" s="422"/>
      <c r="D256" s="422"/>
      <c r="E256" s="422"/>
      <c r="F256" s="422"/>
      <c r="G256" s="422"/>
      <c r="H256" s="422"/>
      <c r="I256" s="422"/>
      <c r="J256" s="422"/>
      <c r="K256" s="422"/>
      <c r="L256" s="422"/>
      <c r="M256" s="422"/>
      <c r="N256" s="422"/>
      <c r="O256" s="422"/>
      <c r="P256" s="422"/>
      <c r="Q256" s="422"/>
      <c r="R256" s="422"/>
      <c r="S256" s="422"/>
      <c r="T256" s="422"/>
      <c r="U256" s="422"/>
      <c r="V256" s="422"/>
      <c r="W256" s="422"/>
      <c r="X256" s="422"/>
      <c r="Y256" s="422"/>
      <c r="Z256" s="422"/>
    </row>
    <row r="257" spans="1:26" ht="15" thickBot="1">
      <c r="A257" s="422"/>
      <c r="B257" s="422"/>
      <c r="C257" s="422"/>
      <c r="D257" s="422"/>
      <c r="E257" s="422"/>
      <c r="F257" s="422"/>
      <c r="G257" s="422"/>
      <c r="H257" s="422"/>
      <c r="I257" s="422"/>
      <c r="J257" s="422"/>
      <c r="K257" s="422"/>
      <c r="L257" s="422"/>
      <c r="M257" s="422"/>
      <c r="N257" s="422"/>
      <c r="O257" s="422"/>
      <c r="P257" s="422"/>
      <c r="Q257" s="422"/>
      <c r="R257" s="422"/>
      <c r="S257" s="422"/>
      <c r="T257" s="422"/>
      <c r="U257" s="422"/>
      <c r="V257" s="422"/>
      <c r="W257" s="422"/>
      <c r="X257" s="422"/>
      <c r="Y257" s="422"/>
      <c r="Z257" s="422"/>
    </row>
    <row r="258" spans="1:26" ht="15" thickBot="1">
      <c r="A258" s="422"/>
      <c r="B258" s="422"/>
      <c r="C258" s="422"/>
      <c r="D258" s="422"/>
      <c r="E258" s="422"/>
      <c r="F258" s="422"/>
      <c r="G258" s="422"/>
      <c r="H258" s="422"/>
      <c r="I258" s="422"/>
      <c r="J258" s="422"/>
      <c r="K258" s="422"/>
      <c r="L258" s="422"/>
      <c r="M258" s="422"/>
      <c r="N258" s="422"/>
      <c r="O258" s="422"/>
      <c r="P258" s="422"/>
      <c r="Q258" s="422"/>
      <c r="R258" s="422"/>
      <c r="S258" s="422"/>
      <c r="T258" s="422"/>
      <c r="U258" s="422"/>
      <c r="V258" s="422"/>
      <c r="W258" s="422"/>
      <c r="X258" s="422"/>
      <c r="Y258" s="422"/>
      <c r="Z258" s="422"/>
    </row>
    <row r="259" spans="1:26" ht="15" thickBot="1">
      <c r="A259" s="422"/>
      <c r="B259" s="422"/>
      <c r="C259" s="422"/>
      <c r="D259" s="422"/>
      <c r="E259" s="422"/>
      <c r="F259" s="422"/>
      <c r="G259" s="422"/>
      <c r="H259" s="422"/>
      <c r="I259" s="422"/>
      <c r="J259" s="422"/>
      <c r="K259" s="422"/>
      <c r="L259" s="422"/>
      <c r="M259" s="422"/>
      <c r="N259" s="422"/>
      <c r="O259" s="422"/>
      <c r="P259" s="422"/>
      <c r="Q259" s="422"/>
      <c r="R259" s="422"/>
      <c r="S259" s="422"/>
      <c r="T259" s="422"/>
      <c r="U259" s="422"/>
      <c r="V259" s="422"/>
      <c r="W259" s="422"/>
      <c r="X259" s="422"/>
      <c r="Y259" s="422"/>
      <c r="Z259" s="422"/>
    </row>
    <row r="260" spans="1:26" ht="15" thickBot="1">
      <c r="A260" s="422"/>
      <c r="B260" s="422"/>
      <c r="C260" s="422"/>
      <c r="D260" s="422"/>
      <c r="E260" s="422"/>
      <c r="F260" s="422"/>
      <c r="G260" s="422"/>
      <c r="H260" s="422"/>
      <c r="I260" s="422"/>
      <c r="J260" s="422"/>
      <c r="K260" s="422"/>
      <c r="L260" s="422"/>
      <c r="M260" s="422"/>
      <c r="N260" s="422"/>
      <c r="O260" s="422"/>
      <c r="P260" s="422"/>
      <c r="Q260" s="422"/>
      <c r="R260" s="422"/>
      <c r="S260" s="422"/>
      <c r="T260" s="422"/>
      <c r="U260" s="422"/>
      <c r="V260" s="422"/>
      <c r="W260" s="422"/>
      <c r="X260" s="422"/>
      <c r="Y260" s="422"/>
      <c r="Z260" s="422"/>
    </row>
    <row r="261" spans="1:26" ht="15" thickBot="1">
      <c r="A261" s="422"/>
      <c r="B261" s="422"/>
      <c r="C261" s="422"/>
      <c r="D261" s="422"/>
      <c r="E261" s="422"/>
      <c r="F261" s="422"/>
      <c r="G261" s="422"/>
      <c r="H261" s="422"/>
      <c r="I261" s="422"/>
      <c r="J261" s="422"/>
      <c r="K261" s="422"/>
      <c r="L261" s="422"/>
      <c r="M261" s="422"/>
      <c r="N261" s="422"/>
      <c r="O261" s="422"/>
      <c r="P261" s="422"/>
      <c r="Q261" s="422"/>
      <c r="R261" s="422"/>
      <c r="S261" s="422"/>
      <c r="T261" s="422"/>
      <c r="U261" s="422"/>
      <c r="V261" s="422"/>
      <c r="W261" s="422"/>
      <c r="X261" s="422"/>
      <c r="Y261" s="422"/>
      <c r="Z261" s="422"/>
    </row>
    <row r="262" spans="1:26" ht="15" thickBot="1">
      <c r="A262" s="422"/>
      <c r="B262" s="422"/>
      <c r="C262" s="422"/>
      <c r="D262" s="422"/>
      <c r="E262" s="422"/>
      <c r="F262" s="422"/>
      <c r="G262" s="422"/>
      <c r="H262" s="422"/>
      <c r="I262" s="422"/>
      <c r="J262" s="422"/>
      <c r="K262" s="422"/>
      <c r="L262" s="422"/>
      <c r="M262" s="422"/>
      <c r="N262" s="422"/>
      <c r="O262" s="422"/>
      <c r="P262" s="422"/>
      <c r="Q262" s="422"/>
      <c r="R262" s="422"/>
      <c r="S262" s="422"/>
      <c r="T262" s="422"/>
      <c r="U262" s="422"/>
      <c r="V262" s="422"/>
      <c r="W262" s="422"/>
      <c r="X262" s="422"/>
      <c r="Y262" s="422"/>
      <c r="Z262" s="422"/>
    </row>
    <row r="263" spans="1:26" ht="15" thickBot="1">
      <c r="A263" s="422"/>
      <c r="B263" s="422"/>
      <c r="C263" s="422"/>
      <c r="D263" s="422"/>
      <c r="E263" s="422"/>
      <c r="F263" s="422"/>
      <c r="G263" s="422"/>
      <c r="H263" s="422"/>
      <c r="I263" s="422"/>
      <c r="J263" s="422"/>
      <c r="K263" s="422"/>
      <c r="L263" s="422"/>
      <c r="M263" s="422"/>
      <c r="N263" s="422"/>
      <c r="O263" s="422"/>
      <c r="P263" s="422"/>
      <c r="Q263" s="422"/>
      <c r="R263" s="422"/>
      <c r="S263" s="422"/>
      <c r="T263" s="422"/>
      <c r="U263" s="422"/>
      <c r="V263" s="422"/>
      <c r="W263" s="422"/>
      <c r="X263" s="422"/>
      <c r="Y263" s="422"/>
      <c r="Z263" s="422"/>
    </row>
    <row r="264" spans="1:26" ht="15" thickBot="1">
      <c r="A264" s="422"/>
      <c r="B264" s="422"/>
      <c r="C264" s="422"/>
      <c r="D264" s="422"/>
      <c r="E264" s="422"/>
      <c r="F264" s="422"/>
      <c r="G264" s="422"/>
      <c r="H264" s="422"/>
      <c r="I264" s="422"/>
      <c r="J264" s="422"/>
      <c r="K264" s="422"/>
      <c r="L264" s="422"/>
      <c r="M264" s="422"/>
      <c r="N264" s="422"/>
      <c r="O264" s="422"/>
      <c r="P264" s="422"/>
      <c r="Q264" s="422"/>
      <c r="R264" s="422"/>
      <c r="S264" s="422"/>
      <c r="T264" s="422"/>
      <c r="U264" s="422"/>
      <c r="V264" s="422"/>
      <c r="W264" s="422"/>
      <c r="X264" s="422"/>
      <c r="Y264" s="422"/>
      <c r="Z264" s="422"/>
    </row>
    <row r="265" spans="1:26" ht="15" thickBot="1">
      <c r="A265" s="422"/>
      <c r="B265" s="422"/>
      <c r="C265" s="422"/>
      <c r="D265" s="422"/>
      <c r="E265" s="422"/>
      <c r="F265" s="422"/>
      <c r="G265" s="422"/>
      <c r="H265" s="422"/>
      <c r="I265" s="422"/>
      <c r="J265" s="422"/>
      <c r="K265" s="422"/>
      <c r="L265" s="422"/>
      <c r="M265" s="422"/>
      <c r="N265" s="422"/>
      <c r="O265" s="422"/>
      <c r="P265" s="422"/>
      <c r="Q265" s="422"/>
      <c r="R265" s="422"/>
      <c r="S265" s="422"/>
      <c r="T265" s="422"/>
      <c r="U265" s="422"/>
      <c r="V265" s="422"/>
      <c r="W265" s="422"/>
      <c r="X265" s="422"/>
      <c r="Y265" s="422"/>
      <c r="Z265" s="422"/>
    </row>
    <row r="266" spans="1:26" ht="15" thickBot="1">
      <c r="A266" s="422"/>
      <c r="B266" s="422"/>
      <c r="C266" s="422"/>
      <c r="D266" s="422"/>
      <c r="E266" s="422"/>
      <c r="F266" s="422"/>
      <c r="G266" s="422"/>
      <c r="H266" s="422"/>
      <c r="I266" s="422"/>
      <c r="J266" s="422"/>
      <c r="K266" s="422"/>
      <c r="L266" s="422"/>
      <c r="M266" s="422"/>
      <c r="N266" s="422"/>
      <c r="O266" s="422"/>
      <c r="P266" s="422"/>
      <c r="Q266" s="422"/>
      <c r="R266" s="422"/>
      <c r="S266" s="422"/>
      <c r="T266" s="422"/>
      <c r="U266" s="422"/>
      <c r="V266" s="422"/>
      <c r="W266" s="422"/>
      <c r="X266" s="422"/>
      <c r="Y266" s="422"/>
      <c r="Z266" s="422"/>
    </row>
    <row r="267" spans="1:26" ht="15" thickBot="1">
      <c r="A267" s="422"/>
      <c r="B267" s="422"/>
      <c r="C267" s="422"/>
      <c r="D267" s="422"/>
      <c r="E267" s="422"/>
      <c r="F267" s="422"/>
      <c r="G267" s="422"/>
      <c r="H267" s="422"/>
      <c r="I267" s="422"/>
      <c r="J267" s="422"/>
      <c r="K267" s="422"/>
      <c r="L267" s="422"/>
      <c r="M267" s="422"/>
      <c r="N267" s="422"/>
      <c r="O267" s="422"/>
      <c r="P267" s="422"/>
      <c r="Q267" s="422"/>
      <c r="R267" s="422"/>
      <c r="S267" s="422"/>
      <c r="T267" s="422"/>
      <c r="U267" s="422"/>
      <c r="V267" s="422"/>
      <c r="W267" s="422"/>
      <c r="X267" s="422"/>
      <c r="Y267" s="422"/>
      <c r="Z267" s="422"/>
    </row>
    <row r="268" spans="1:26" ht="15" thickBot="1">
      <c r="A268" s="422"/>
      <c r="B268" s="422"/>
      <c r="C268" s="422"/>
      <c r="D268" s="422"/>
      <c r="E268" s="422"/>
      <c r="F268" s="422"/>
      <c r="G268" s="422"/>
      <c r="H268" s="422"/>
      <c r="I268" s="422"/>
      <c r="J268" s="422"/>
      <c r="K268" s="422"/>
      <c r="L268" s="422"/>
      <c r="M268" s="422"/>
      <c r="N268" s="422"/>
      <c r="O268" s="422"/>
      <c r="P268" s="422"/>
      <c r="Q268" s="422"/>
      <c r="R268" s="422"/>
      <c r="S268" s="422"/>
      <c r="T268" s="422"/>
      <c r="U268" s="422"/>
      <c r="V268" s="422"/>
      <c r="W268" s="422"/>
      <c r="X268" s="422"/>
      <c r="Y268" s="422"/>
      <c r="Z268" s="422"/>
    </row>
    <row r="269" spans="1:26" ht="15" thickBot="1">
      <c r="A269" s="422"/>
      <c r="B269" s="422"/>
      <c r="C269" s="422"/>
      <c r="D269" s="422"/>
      <c r="E269" s="422"/>
      <c r="F269" s="422"/>
      <c r="G269" s="422"/>
      <c r="H269" s="422"/>
      <c r="I269" s="422"/>
      <c r="J269" s="422"/>
      <c r="K269" s="422"/>
      <c r="L269" s="422"/>
      <c r="M269" s="422"/>
      <c r="N269" s="422"/>
      <c r="O269" s="422"/>
      <c r="P269" s="422"/>
      <c r="Q269" s="422"/>
      <c r="R269" s="422"/>
      <c r="S269" s="422"/>
      <c r="T269" s="422"/>
      <c r="U269" s="422"/>
      <c r="V269" s="422"/>
      <c r="W269" s="422"/>
      <c r="X269" s="422"/>
      <c r="Y269" s="422"/>
      <c r="Z269" s="422"/>
    </row>
    <row r="270" spans="1:26" ht="15" thickBot="1">
      <c r="A270" s="422"/>
      <c r="B270" s="422"/>
      <c r="C270" s="422"/>
      <c r="D270" s="422"/>
      <c r="E270" s="422"/>
      <c r="F270" s="422"/>
      <c r="G270" s="422"/>
      <c r="H270" s="422"/>
      <c r="I270" s="422"/>
      <c r="J270" s="422"/>
      <c r="K270" s="422"/>
      <c r="L270" s="422"/>
      <c r="M270" s="422"/>
      <c r="N270" s="422"/>
      <c r="O270" s="422"/>
      <c r="P270" s="422"/>
      <c r="Q270" s="422"/>
      <c r="R270" s="422"/>
      <c r="S270" s="422"/>
      <c r="T270" s="422"/>
      <c r="U270" s="422"/>
      <c r="V270" s="422"/>
      <c r="W270" s="422"/>
      <c r="X270" s="422"/>
      <c r="Y270" s="422"/>
      <c r="Z270" s="422"/>
    </row>
    <row r="271" spans="1:26" ht="15" thickBot="1">
      <c r="A271" s="422"/>
      <c r="B271" s="422"/>
      <c r="C271" s="422"/>
      <c r="D271" s="422"/>
      <c r="E271" s="422"/>
      <c r="F271" s="422"/>
      <c r="G271" s="422"/>
      <c r="H271" s="422"/>
      <c r="I271" s="422"/>
      <c r="J271" s="422"/>
      <c r="K271" s="422"/>
      <c r="L271" s="422"/>
      <c r="M271" s="422"/>
      <c r="N271" s="422"/>
      <c r="O271" s="422"/>
      <c r="P271" s="422"/>
      <c r="Q271" s="422"/>
      <c r="R271" s="422"/>
      <c r="S271" s="422"/>
      <c r="T271" s="422"/>
      <c r="U271" s="422"/>
      <c r="V271" s="422"/>
      <c r="W271" s="422"/>
      <c r="X271" s="422"/>
      <c r="Y271" s="422"/>
      <c r="Z271" s="422"/>
    </row>
    <row r="272" spans="1:26" ht="15" thickBot="1">
      <c r="A272" s="422"/>
      <c r="B272" s="422"/>
      <c r="C272" s="422"/>
      <c r="D272" s="422"/>
      <c r="E272" s="422"/>
      <c r="F272" s="422"/>
      <c r="G272" s="422"/>
      <c r="H272" s="422"/>
      <c r="I272" s="422"/>
      <c r="J272" s="422"/>
      <c r="K272" s="422"/>
      <c r="L272" s="422"/>
      <c r="M272" s="422"/>
      <c r="N272" s="422"/>
      <c r="O272" s="422"/>
      <c r="P272" s="422"/>
      <c r="Q272" s="422"/>
      <c r="R272" s="422"/>
      <c r="S272" s="422"/>
      <c r="T272" s="422"/>
      <c r="U272" s="422"/>
      <c r="V272" s="422"/>
      <c r="W272" s="422"/>
      <c r="X272" s="422"/>
      <c r="Y272" s="422"/>
      <c r="Z272" s="422"/>
    </row>
    <row r="273" spans="1:26" ht="15" thickBot="1">
      <c r="A273" s="422"/>
      <c r="B273" s="422"/>
      <c r="C273" s="422"/>
      <c r="D273" s="422"/>
      <c r="E273" s="422"/>
      <c r="F273" s="422"/>
      <c r="G273" s="422"/>
      <c r="H273" s="422"/>
      <c r="I273" s="422"/>
      <c r="J273" s="422"/>
      <c r="K273" s="422"/>
      <c r="L273" s="422"/>
      <c r="M273" s="422"/>
      <c r="N273" s="422"/>
      <c r="O273" s="422"/>
      <c r="P273" s="422"/>
      <c r="Q273" s="422"/>
      <c r="R273" s="422"/>
      <c r="S273" s="422"/>
      <c r="T273" s="422"/>
      <c r="U273" s="422"/>
      <c r="V273" s="422"/>
      <c r="W273" s="422"/>
      <c r="X273" s="422"/>
      <c r="Y273" s="422"/>
      <c r="Z273" s="422"/>
    </row>
    <row r="274" spans="1:26" ht="15" thickBot="1">
      <c r="A274" s="422"/>
      <c r="B274" s="422"/>
      <c r="C274" s="422"/>
      <c r="D274" s="422"/>
      <c r="E274" s="422"/>
      <c r="F274" s="422"/>
      <c r="G274" s="422"/>
      <c r="H274" s="422"/>
      <c r="I274" s="422"/>
      <c r="J274" s="422"/>
      <c r="K274" s="422"/>
      <c r="L274" s="422"/>
      <c r="M274" s="422"/>
      <c r="N274" s="422"/>
      <c r="O274" s="422"/>
      <c r="P274" s="422"/>
      <c r="Q274" s="422"/>
      <c r="R274" s="422"/>
      <c r="S274" s="422"/>
      <c r="T274" s="422"/>
      <c r="U274" s="422"/>
      <c r="V274" s="422"/>
      <c r="W274" s="422"/>
      <c r="X274" s="422"/>
      <c r="Y274" s="422"/>
      <c r="Z274" s="422"/>
    </row>
    <row r="275" spans="1:26" ht="15" thickBot="1">
      <c r="A275" s="422"/>
      <c r="B275" s="422"/>
      <c r="C275" s="422"/>
      <c r="D275" s="422"/>
      <c r="E275" s="422"/>
      <c r="F275" s="422"/>
      <c r="G275" s="422"/>
      <c r="H275" s="422"/>
      <c r="I275" s="422"/>
      <c r="J275" s="422"/>
      <c r="K275" s="422"/>
      <c r="L275" s="422"/>
      <c r="M275" s="422"/>
      <c r="N275" s="422"/>
      <c r="O275" s="422"/>
      <c r="P275" s="422"/>
      <c r="Q275" s="422"/>
      <c r="R275" s="422"/>
      <c r="S275" s="422"/>
      <c r="T275" s="422"/>
      <c r="U275" s="422"/>
      <c r="V275" s="422"/>
      <c r="W275" s="422"/>
      <c r="X275" s="422"/>
      <c r="Y275" s="422"/>
      <c r="Z275" s="422"/>
    </row>
    <row r="276" spans="1:26" ht="15" thickBot="1">
      <c r="A276" s="422"/>
      <c r="B276" s="422"/>
      <c r="C276" s="422"/>
      <c r="D276" s="422"/>
      <c r="E276" s="422"/>
      <c r="F276" s="422"/>
      <c r="G276" s="422"/>
      <c r="H276" s="422"/>
      <c r="I276" s="422"/>
      <c r="J276" s="422"/>
      <c r="K276" s="422"/>
      <c r="L276" s="422"/>
      <c r="M276" s="422"/>
      <c r="N276" s="422"/>
      <c r="O276" s="422"/>
      <c r="P276" s="422"/>
      <c r="Q276" s="422"/>
      <c r="R276" s="422"/>
      <c r="S276" s="422"/>
      <c r="T276" s="422"/>
      <c r="U276" s="422"/>
      <c r="V276" s="422"/>
      <c r="W276" s="422"/>
      <c r="X276" s="422"/>
      <c r="Y276" s="422"/>
      <c r="Z276" s="422"/>
    </row>
    <row r="277" spans="1:26" ht="15" thickBot="1">
      <c r="A277" s="422"/>
      <c r="B277" s="422"/>
      <c r="C277" s="422"/>
      <c r="D277" s="422"/>
      <c r="E277" s="422"/>
      <c r="F277" s="422"/>
      <c r="G277" s="422"/>
      <c r="H277" s="422"/>
      <c r="I277" s="422"/>
      <c r="J277" s="422"/>
      <c r="K277" s="422"/>
      <c r="L277" s="422"/>
      <c r="M277" s="422"/>
      <c r="N277" s="422"/>
      <c r="O277" s="422"/>
      <c r="P277" s="422"/>
      <c r="Q277" s="422"/>
      <c r="R277" s="422"/>
      <c r="S277" s="422"/>
      <c r="T277" s="422"/>
      <c r="U277" s="422"/>
      <c r="V277" s="422"/>
      <c r="W277" s="422"/>
      <c r="X277" s="422"/>
      <c r="Y277" s="422"/>
      <c r="Z277" s="422"/>
    </row>
    <row r="278" spans="1:26" ht="15" thickBot="1">
      <c r="A278" s="422"/>
      <c r="B278" s="422"/>
      <c r="C278" s="422"/>
      <c r="D278" s="422"/>
      <c r="E278" s="422"/>
      <c r="F278" s="422"/>
      <c r="G278" s="422"/>
      <c r="H278" s="422"/>
      <c r="I278" s="422"/>
      <c r="J278" s="422"/>
      <c r="K278" s="422"/>
      <c r="L278" s="422"/>
      <c r="M278" s="422"/>
      <c r="N278" s="422"/>
      <c r="O278" s="422"/>
      <c r="P278" s="422"/>
      <c r="Q278" s="422"/>
      <c r="R278" s="422"/>
      <c r="S278" s="422"/>
      <c r="T278" s="422"/>
      <c r="U278" s="422"/>
      <c r="V278" s="422"/>
      <c r="W278" s="422"/>
      <c r="X278" s="422"/>
      <c r="Y278" s="422"/>
      <c r="Z278" s="422"/>
    </row>
    <row r="279" spans="1:26" ht="15" thickBot="1">
      <c r="A279" s="422"/>
      <c r="B279" s="422"/>
      <c r="C279" s="422"/>
      <c r="D279" s="422"/>
      <c r="E279" s="422"/>
      <c r="F279" s="422"/>
      <c r="G279" s="422"/>
      <c r="H279" s="422"/>
      <c r="I279" s="422"/>
      <c r="J279" s="422"/>
      <c r="K279" s="422"/>
      <c r="L279" s="422"/>
      <c r="M279" s="422"/>
      <c r="N279" s="422"/>
      <c r="O279" s="422"/>
      <c r="P279" s="422"/>
      <c r="Q279" s="422"/>
      <c r="R279" s="422"/>
      <c r="S279" s="422"/>
      <c r="T279" s="422"/>
      <c r="U279" s="422"/>
      <c r="V279" s="422"/>
      <c r="W279" s="422"/>
      <c r="X279" s="422"/>
      <c r="Y279" s="422"/>
      <c r="Z279" s="422"/>
    </row>
    <row r="280" spans="1:26" ht="15" thickBot="1">
      <c r="A280" s="422"/>
      <c r="B280" s="422"/>
      <c r="C280" s="422"/>
      <c r="D280" s="422"/>
      <c r="E280" s="422"/>
      <c r="F280" s="422"/>
      <c r="G280" s="422"/>
      <c r="H280" s="422"/>
      <c r="I280" s="422"/>
      <c r="J280" s="422"/>
      <c r="K280" s="422"/>
      <c r="L280" s="422"/>
      <c r="M280" s="422"/>
      <c r="N280" s="422"/>
      <c r="O280" s="422"/>
      <c r="P280" s="422"/>
      <c r="Q280" s="422"/>
      <c r="R280" s="422"/>
      <c r="S280" s="422"/>
      <c r="T280" s="422"/>
      <c r="U280" s="422"/>
      <c r="V280" s="422"/>
      <c r="W280" s="422"/>
      <c r="X280" s="422"/>
      <c r="Y280" s="422"/>
      <c r="Z280" s="422"/>
    </row>
    <row r="281" spans="1:26" ht="15" thickBot="1">
      <c r="A281" s="422"/>
      <c r="B281" s="422"/>
      <c r="C281" s="422"/>
      <c r="D281" s="422"/>
      <c r="E281" s="422"/>
      <c r="F281" s="422"/>
      <c r="G281" s="422"/>
      <c r="H281" s="422"/>
      <c r="I281" s="422"/>
      <c r="J281" s="422"/>
      <c r="K281" s="422"/>
      <c r="L281" s="422"/>
      <c r="M281" s="422"/>
      <c r="N281" s="422"/>
      <c r="O281" s="422"/>
      <c r="P281" s="422"/>
      <c r="Q281" s="422"/>
      <c r="R281" s="422"/>
      <c r="S281" s="422"/>
      <c r="T281" s="422"/>
      <c r="U281" s="422"/>
      <c r="V281" s="422"/>
      <c r="W281" s="422"/>
      <c r="X281" s="422"/>
      <c r="Y281" s="422"/>
      <c r="Z281" s="422"/>
    </row>
    <row r="282" spans="1:26" ht="15" thickBot="1">
      <c r="A282" s="422"/>
      <c r="B282" s="422"/>
      <c r="C282" s="422"/>
      <c r="D282" s="422"/>
      <c r="E282" s="422"/>
      <c r="F282" s="422"/>
      <c r="G282" s="422"/>
      <c r="H282" s="422"/>
      <c r="I282" s="422"/>
      <c r="J282" s="422"/>
      <c r="K282" s="422"/>
      <c r="L282" s="422"/>
      <c r="M282" s="422"/>
      <c r="N282" s="422"/>
      <c r="O282" s="422"/>
      <c r="P282" s="422"/>
      <c r="Q282" s="422"/>
      <c r="R282" s="422"/>
      <c r="S282" s="422"/>
      <c r="T282" s="422"/>
      <c r="U282" s="422"/>
      <c r="V282" s="422"/>
      <c r="W282" s="422"/>
      <c r="X282" s="422"/>
      <c r="Y282" s="422"/>
      <c r="Z282" s="422"/>
    </row>
    <row r="283" spans="1:26" ht="15" thickBot="1">
      <c r="A283" s="422"/>
      <c r="B283" s="422"/>
      <c r="C283" s="422"/>
      <c r="D283" s="422"/>
      <c r="E283" s="422"/>
      <c r="F283" s="422"/>
      <c r="G283" s="422"/>
      <c r="H283" s="422"/>
      <c r="I283" s="422"/>
      <c r="J283" s="422"/>
      <c r="K283" s="422"/>
      <c r="L283" s="422"/>
      <c r="M283" s="422"/>
      <c r="N283" s="422"/>
      <c r="O283" s="422"/>
      <c r="P283" s="422"/>
      <c r="Q283" s="422"/>
      <c r="R283" s="422"/>
      <c r="S283" s="422"/>
      <c r="T283" s="422"/>
      <c r="U283" s="422"/>
      <c r="V283" s="422"/>
      <c r="W283" s="422"/>
      <c r="X283" s="422"/>
      <c r="Y283" s="422"/>
      <c r="Z283" s="422"/>
    </row>
    <row r="284" spans="1:26" ht="15" thickBot="1">
      <c r="A284" s="422"/>
      <c r="B284" s="422"/>
      <c r="C284" s="422"/>
      <c r="D284" s="422"/>
      <c r="E284" s="422"/>
      <c r="F284" s="422"/>
      <c r="G284" s="422"/>
      <c r="H284" s="422"/>
      <c r="I284" s="422"/>
      <c r="J284" s="422"/>
      <c r="K284" s="422"/>
      <c r="L284" s="422"/>
      <c r="M284" s="422"/>
      <c r="N284" s="422"/>
      <c r="O284" s="422"/>
      <c r="P284" s="422"/>
      <c r="Q284" s="422"/>
      <c r="R284" s="422"/>
      <c r="S284" s="422"/>
      <c r="T284" s="422"/>
      <c r="U284" s="422"/>
      <c r="V284" s="422"/>
      <c r="W284" s="422"/>
      <c r="X284" s="422"/>
      <c r="Y284" s="422"/>
      <c r="Z284" s="422"/>
    </row>
    <row r="285" spans="1:26" ht="15" thickBot="1">
      <c r="A285" s="422"/>
      <c r="B285" s="422"/>
      <c r="C285" s="422"/>
      <c r="D285" s="422"/>
      <c r="E285" s="422"/>
      <c r="F285" s="422"/>
      <c r="G285" s="422"/>
      <c r="H285" s="422"/>
      <c r="I285" s="422"/>
      <c r="J285" s="422"/>
      <c r="K285" s="422"/>
      <c r="L285" s="422"/>
      <c r="M285" s="422"/>
      <c r="N285" s="422"/>
      <c r="O285" s="422"/>
      <c r="P285" s="422"/>
      <c r="Q285" s="422"/>
      <c r="R285" s="422"/>
      <c r="S285" s="422"/>
      <c r="T285" s="422"/>
      <c r="U285" s="422"/>
      <c r="V285" s="422"/>
      <c r="W285" s="422"/>
      <c r="X285" s="422"/>
      <c r="Y285" s="422"/>
      <c r="Z285" s="422"/>
    </row>
    <row r="286" spans="1:26" ht="15" thickBot="1">
      <c r="A286" s="422"/>
      <c r="B286" s="422"/>
      <c r="C286" s="422"/>
      <c r="D286" s="422"/>
      <c r="E286" s="422"/>
      <c r="F286" s="422"/>
      <c r="G286" s="422"/>
      <c r="H286" s="422"/>
      <c r="I286" s="422"/>
      <c r="J286" s="422"/>
      <c r="K286" s="422"/>
      <c r="L286" s="422"/>
      <c r="M286" s="422"/>
      <c r="N286" s="422"/>
      <c r="O286" s="422"/>
      <c r="P286" s="422"/>
      <c r="Q286" s="422"/>
      <c r="R286" s="422"/>
      <c r="S286" s="422"/>
      <c r="T286" s="422"/>
      <c r="U286" s="422"/>
      <c r="V286" s="422"/>
      <c r="W286" s="422"/>
      <c r="X286" s="422"/>
      <c r="Y286" s="422"/>
      <c r="Z286" s="422"/>
    </row>
    <row r="287" spans="1:26" ht="15" thickBot="1">
      <c r="A287" s="422"/>
      <c r="B287" s="422"/>
      <c r="C287" s="422"/>
      <c r="D287" s="422"/>
      <c r="E287" s="422"/>
      <c r="F287" s="422"/>
      <c r="G287" s="422"/>
      <c r="H287" s="422"/>
      <c r="I287" s="422"/>
      <c r="J287" s="422"/>
      <c r="K287" s="422"/>
      <c r="L287" s="422"/>
      <c r="M287" s="422"/>
      <c r="N287" s="422"/>
      <c r="O287" s="422"/>
      <c r="P287" s="422"/>
      <c r="Q287" s="422"/>
      <c r="R287" s="422"/>
      <c r="S287" s="422"/>
      <c r="T287" s="422"/>
      <c r="U287" s="422"/>
      <c r="V287" s="422"/>
      <c r="W287" s="422"/>
      <c r="X287" s="422"/>
      <c r="Y287" s="422"/>
      <c r="Z287" s="422"/>
    </row>
    <row r="288" spans="1:26" ht="15" thickBot="1">
      <c r="A288" s="422"/>
      <c r="B288" s="422"/>
      <c r="C288" s="422"/>
      <c r="D288" s="422"/>
      <c r="E288" s="422"/>
      <c r="F288" s="422"/>
      <c r="G288" s="422"/>
      <c r="H288" s="422"/>
      <c r="I288" s="422"/>
      <c r="J288" s="422"/>
      <c r="K288" s="422"/>
      <c r="L288" s="422"/>
      <c r="M288" s="422"/>
      <c r="N288" s="422"/>
      <c r="O288" s="422"/>
      <c r="P288" s="422"/>
      <c r="Q288" s="422"/>
      <c r="R288" s="422"/>
      <c r="S288" s="422"/>
      <c r="T288" s="422"/>
      <c r="U288" s="422"/>
      <c r="V288" s="422"/>
      <c r="W288" s="422"/>
      <c r="X288" s="422"/>
      <c r="Y288" s="422"/>
      <c r="Z288" s="422"/>
    </row>
    <row r="289" spans="1:26" ht="15" thickBot="1">
      <c r="A289" s="422"/>
      <c r="B289" s="422"/>
      <c r="C289" s="422"/>
      <c r="D289" s="422"/>
      <c r="E289" s="422"/>
      <c r="F289" s="422"/>
      <c r="G289" s="422"/>
      <c r="H289" s="422"/>
      <c r="I289" s="422"/>
      <c r="J289" s="422"/>
      <c r="K289" s="422"/>
      <c r="L289" s="422"/>
      <c r="M289" s="422"/>
      <c r="N289" s="422"/>
      <c r="O289" s="422"/>
      <c r="P289" s="422"/>
      <c r="Q289" s="422"/>
      <c r="R289" s="422"/>
      <c r="S289" s="422"/>
      <c r="T289" s="422"/>
      <c r="U289" s="422"/>
      <c r="V289" s="422"/>
      <c r="W289" s="422"/>
      <c r="X289" s="422"/>
      <c r="Y289" s="422"/>
      <c r="Z289" s="422"/>
    </row>
    <row r="290" spans="1:26" ht="15" thickBot="1">
      <c r="A290" s="422"/>
      <c r="B290" s="422"/>
      <c r="C290" s="422"/>
      <c r="D290" s="422"/>
      <c r="E290" s="422"/>
      <c r="F290" s="422"/>
      <c r="G290" s="422"/>
      <c r="H290" s="422"/>
      <c r="I290" s="422"/>
      <c r="J290" s="422"/>
      <c r="K290" s="422"/>
      <c r="L290" s="422"/>
      <c r="M290" s="422"/>
      <c r="N290" s="422"/>
      <c r="O290" s="422"/>
      <c r="P290" s="422"/>
      <c r="Q290" s="422"/>
      <c r="R290" s="422"/>
      <c r="S290" s="422"/>
      <c r="T290" s="422"/>
      <c r="U290" s="422"/>
      <c r="V290" s="422"/>
      <c r="W290" s="422"/>
      <c r="X290" s="422"/>
      <c r="Y290" s="422"/>
      <c r="Z290" s="422"/>
    </row>
    <row r="291" spans="1:26" ht="15" thickBot="1">
      <c r="A291" s="422"/>
      <c r="B291" s="422"/>
      <c r="C291" s="422"/>
      <c r="D291" s="422"/>
      <c r="E291" s="422"/>
      <c r="F291" s="422"/>
      <c r="G291" s="422"/>
      <c r="H291" s="422"/>
      <c r="I291" s="422"/>
      <c r="J291" s="422"/>
      <c r="K291" s="422"/>
      <c r="L291" s="422"/>
      <c r="M291" s="422"/>
      <c r="N291" s="422"/>
      <c r="O291" s="422"/>
      <c r="P291" s="422"/>
      <c r="Q291" s="422"/>
      <c r="R291" s="422"/>
      <c r="S291" s="422"/>
      <c r="T291" s="422"/>
      <c r="U291" s="422"/>
      <c r="V291" s="422"/>
      <c r="W291" s="422"/>
      <c r="X291" s="422"/>
      <c r="Y291" s="422"/>
      <c r="Z291" s="422"/>
    </row>
    <row r="292" spans="1:26" ht="15" thickBot="1">
      <c r="A292" s="422"/>
      <c r="B292" s="422"/>
      <c r="C292" s="422"/>
      <c r="D292" s="422"/>
      <c r="E292" s="422"/>
      <c r="F292" s="422"/>
      <c r="G292" s="422"/>
      <c r="H292" s="422"/>
      <c r="I292" s="422"/>
      <c r="J292" s="422"/>
      <c r="K292" s="422"/>
      <c r="L292" s="422"/>
      <c r="M292" s="422"/>
      <c r="N292" s="422"/>
      <c r="O292" s="422"/>
      <c r="P292" s="422"/>
      <c r="Q292" s="422"/>
      <c r="R292" s="422"/>
      <c r="S292" s="422"/>
      <c r="T292" s="422"/>
      <c r="U292" s="422"/>
      <c r="V292" s="422"/>
      <c r="W292" s="422"/>
      <c r="X292" s="422"/>
      <c r="Y292" s="422"/>
      <c r="Z292" s="422"/>
    </row>
    <row r="293" spans="1:26" ht="15" thickBot="1">
      <c r="A293" s="422"/>
      <c r="B293" s="422"/>
      <c r="C293" s="422"/>
      <c r="D293" s="422"/>
      <c r="E293" s="422"/>
      <c r="F293" s="422"/>
      <c r="G293" s="422"/>
      <c r="H293" s="422"/>
      <c r="I293" s="422"/>
      <c r="J293" s="422"/>
      <c r="K293" s="422"/>
      <c r="L293" s="422"/>
      <c r="M293" s="422"/>
      <c r="N293" s="422"/>
      <c r="O293" s="422"/>
      <c r="P293" s="422"/>
      <c r="Q293" s="422"/>
      <c r="R293" s="422"/>
      <c r="S293" s="422"/>
      <c r="T293" s="422"/>
      <c r="U293" s="422"/>
      <c r="V293" s="422"/>
      <c r="W293" s="422"/>
      <c r="X293" s="422"/>
      <c r="Y293" s="422"/>
      <c r="Z293" s="422"/>
    </row>
    <row r="294" spans="1:26" ht="15" thickBot="1">
      <c r="A294" s="422"/>
      <c r="B294" s="422"/>
      <c r="C294" s="422"/>
      <c r="D294" s="422"/>
      <c r="E294" s="422"/>
      <c r="F294" s="422"/>
      <c r="G294" s="422"/>
      <c r="H294" s="422"/>
      <c r="I294" s="422"/>
      <c r="J294" s="422"/>
      <c r="K294" s="422"/>
      <c r="L294" s="422"/>
      <c r="M294" s="422"/>
      <c r="N294" s="422"/>
      <c r="O294" s="422"/>
      <c r="P294" s="422"/>
      <c r="Q294" s="422"/>
      <c r="R294" s="422"/>
      <c r="S294" s="422"/>
      <c r="T294" s="422"/>
      <c r="U294" s="422"/>
      <c r="V294" s="422"/>
      <c r="W294" s="422"/>
      <c r="X294" s="422"/>
      <c r="Y294" s="422"/>
      <c r="Z294" s="422"/>
    </row>
    <row r="295" spans="1:26" ht="15" thickBot="1">
      <c r="A295" s="422"/>
      <c r="B295" s="422"/>
      <c r="C295" s="422"/>
      <c r="D295" s="422"/>
      <c r="E295" s="422"/>
      <c r="F295" s="422"/>
      <c r="G295" s="422"/>
      <c r="H295" s="422"/>
      <c r="I295" s="422"/>
      <c r="J295" s="422"/>
      <c r="K295" s="422"/>
      <c r="L295" s="422"/>
      <c r="M295" s="422"/>
      <c r="N295" s="422"/>
      <c r="O295" s="422"/>
      <c r="P295" s="422"/>
      <c r="Q295" s="422"/>
      <c r="R295" s="422"/>
      <c r="S295" s="422"/>
      <c r="T295" s="422"/>
      <c r="U295" s="422"/>
      <c r="V295" s="422"/>
      <c r="W295" s="422"/>
      <c r="X295" s="422"/>
      <c r="Y295" s="422"/>
      <c r="Z295" s="422"/>
    </row>
    <row r="296" spans="1:26" ht="15" thickBot="1">
      <c r="A296" s="422"/>
      <c r="B296" s="422"/>
      <c r="C296" s="422"/>
      <c r="D296" s="422"/>
      <c r="E296" s="422"/>
      <c r="F296" s="422"/>
      <c r="G296" s="422"/>
      <c r="H296" s="422"/>
      <c r="I296" s="422"/>
      <c r="J296" s="422"/>
      <c r="K296" s="422"/>
      <c r="L296" s="422"/>
      <c r="M296" s="422"/>
      <c r="N296" s="422"/>
      <c r="O296" s="422"/>
      <c r="P296" s="422"/>
      <c r="Q296" s="422"/>
      <c r="R296" s="422"/>
      <c r="S296" s="422"/>
      <c r="T296" s="422"/>
      <c r="U296" s="422"/>
      <c r="V296" s="422"/>
      <c r="W296" s="422"/>
      <c r="X296" s="422"/>
      <c r="Y296" s="422"/>
      <c r="Z296" s="422"/>
    </row>
    <row r="297" spans="1:26" ht="15" thickBot="1">
      <c r="A297" s="422"/>
      <c r="B297" s="422"/>
      <c r="C297" s="422"/>
      <c r="D297" s="422"/>
      <c r="E297" s="422"/>
      <c r="F297" s="422"/>
      <c r="G297" s="422"/>
      <c r="H297" s="422"/>
      <c r="I297" s="422"/>
      <c r="J297" s="422"/>
      <c r="K297" s="422"/>
      <c r="L297" s="422"/>
      <c r="M297" s="422"/>
      <c r="N297" s="422"/>
      <c r="O297" s="422"/>
      <c r="P297" s="422"/>
      <c r="Q297" s="422"/>
      <c r="R297" s="422"/>
      <c r="S297" s="422"/>
      <c r="T297" s="422"/>
      <c r="U297" s="422"/>
      <c r="V297" s="422"/>
      <c r="W297" s="422"/>
      <c r="X297" s="422"/>
      <c r="Y297" s="422"/>
      <c r="Z297" s="422"/>
    </row>
    <row r="298" spans="1:26" ht="15" thickBot="1">
      <c r="A298" s="422"/>
      <c r="B298" s="422"/>
      <c r="C298" s="422"/>
      <c r="D298" s="422"/>
      <c r="E298" s="422"/>
      <c r="F298" s="422"/>
      <c r="G298" s="422"/>
      <c r="H298" s="422"/>
      <c r="I298" s="422"/>
      <c r="J298" s="422"/>
      <c r="K298" s="422"/>
      <c r="L298" s="422"/>
      <c r="M298" s="422"/>
      <c r="N298" s="422"/>
      <c r="O298" s="422"/>
      <c r="P298" s="422"/>
      <c r="Q298" s="422"/>
      <c r="R298" s="422"/>
      <c r="S298" s="422"/>
      <c r="T298" s="422"/>
      <c r="U298" s="422"/>
      <c r="V298" s="422"/>
      <c r="W298" s="422"/>
      <c r="X298" s="422"/>
      <c r="Y298" s="422"/>
      <c r="Z298" s="422"/>
    </row>
    <row r="299" spans="1:26" ht="15" thickBot="1">
      <c r="A299" s="422"/>
      <c r="B299" s="422"/>
      <c r="C299" s="422"/>
      <c r="D299" s="422"/>
      <c r="E299" s="422"/>
      <c r="F299" s="422"/>
      <c r="G299" s="422"/>
      <c r="H299" s="422"/>
      <c r="I299" s="422"/>
      <c r="J299" s="422"/>
      <c r="K299" s="422"/>
      <c r="L299" s="422"/>
      <c r="M299" s="422"/>
      <c r="N299" s="422"/>
      <c r="O299" s="422"/>
      <c r="P299" s="422"/>
      <c r="Q299" s="422"/>
      <c r="R299" s="422"/>
      <c r="S299" s="422"/>
      <c r="T299" s="422"/>
      <c r="U299" s="422"/>
      <c r="V299" s="422"/>
      <c r="W299" s="422"/>
      <c r="X299" s="422"/>
      <c r="Y299" s="422"/>
      <c r="Z299" s="422"/>
    </row>
    <row r="300" spans="1:26" ht="15" thickBot="1">
      <c r="A300" s="422"/>
      <c r="B300" s="422"/>
      <c r="C300" s="422"/>
      <c r="D300" s="422"/>
      <c r="E300" s="422"/>
      <c r="F300" s="422"/>
      <c r="G300" s="422"/>
      <c r="H300" s="422"/>
      <c r="I300" s="422"/>
      <c r="J300" s="422"/>
      <c r="K300" s="422"/>
      <c r="L300" s="422"/>
      <c r="M300" s="422"/>
      <c r="N300" s="422"/>
      <c r="O300" s="422"/>
      <c r="P300" s="422"/>
      <c r="Q300" s="422"/>
      <c r="R300" s="422"/>
      <c r="S300" s="422"/>
      <c r="T300" s="422"/>
      <c r="U300" s="422"/>
      <c r="V300" s="422"/>
      <c r="W300" s="422"/>
      <c r="X300" s="422"/>
      <c r="Y300" s="422"/>
      <c r="Z300" s="422"/>
    </row>
    <row r="301" spans="1:26" ht="15" thickBot="1">
      <c r="A301" s="422"/>
      <c r="B301" s="422"/>
      <c r="C301" s="422"/>
      <c r="D301" s="422"/>
      <c r="E301" s="422"/>
      <c r="F301" s="422"/>
      <c r="G301" s="422"/>
      <c r="H301" s="422"/>
      <c r="I301" s="422"/>
      <c r="J301" s="422"/>
      <c r="K301" s="422"/>
      <c r="L301" s="422"/>
      <c r="M301" s="422"/>
      <c r="N301" s="422"/>
      <c r="O301" s="422"/>
      <c r="P301" s="422"/>
      <c r="Q301" s="422"/>
      <c r="R301" s="422"/>
      <c r="S301" s="422"/>
      <c r="T301" s="422"/>
      <c r="U301" s="422"/>
      <c r="V301" s="422"/>
      <c r="W301" s="422"/>
      <c r="X301" s="422"/>
      <c r="Y301" s="422"/>
      <c r="Z301" s="422"/>
    </row>
    <row r="302" spans="1:26" ht="15" thickBot="1">
      <c r="A302" s="422"/>
      <c r="B302" s="422"/>
      <c r="C302" s="422"/>
      <c r="D302" s="422"/>
      <c r="E302" s="422"/>
      <c r="F302" s="422"/>
      <c r="G302" s="422"/>
      <c r="H302" s="422"/>
      <c r="I302" s="422"/>
      <c r="J302" s="422"/>
      <c r="K302" s="422"/>
      <c r="L302" s="422"/>
      <c r="M302" s="422"/>
      <c r="N302" s="422"/>
      <c r="O302" s="422"/>
      <c r="P302" s="422"/>
      <c r="Q302" s="422"/>
      <c r="R302" s="422"/>
      <c r="S302" s="422"/>
      <c r="T302" s="422"/>
      <c r="U302" s="422"/>
      <c r="V302" s="422"/>
      <c r="W302" s="422"/>
      <c r="X302" s="422"/>
      <c r="Y302" s="422"/>
      <c r="Z302" s="422"/>
    </row>
    <row r="303" spans="1:26" ht="15" thickBot="1">
      <c r="A303" s="422"/>
      <c r="B303" s="422"/>
      <c r="C303" s="422"/>
      <c r="D303" s="422"/>
      <c r="E303" s="422"/>
      <c r="F303" s="422"/>
      <c r="G303" s="422"/>
      <c r="H303" s="422"/>
      <c r="I303" s="422"/>
      <c r="J303" s="422"/>
      <c r="K303" s="422"/>
      <c r="L303" s="422"/>
      <c r="M303" s="422"/>
      <c r="N303" s="422"/>
      <c r="O303" s="422"/>
      <c r="P303" s="422"/>
      <c r="Q303" s="422"/>
      <c r="R303" s="422"/>
      <c r="S303" s="422"/>
      <c r="T303" s="422"/>
      <c r="U303" s="422"/>
      <c r="V303" s="422"/>
      <c r="W303" s="422"/>
      <c r="X303" s="422"/>
      <c r="Y303" s="422"/>
      <c r="Z303" s="422"/>
    </row>
    <row r="304" spans="1:26" ht="15" thickBot="1">
      <c r="A304" s="422"/>
      <c r="B304" s="422"/>
      <c r="C304" s="422"/>
      <c r="D304" s="422"/>
      <c r="E304" s="422"/>
      <c r="F304" s="422"/>
      <c r="G304" s="422"/>
      <c r="H304" s="422"/>
      <c r="I304" s="422"/>
      <c r="J304" s="422"/>
      <c r="K304" s="422"/>
      <c r="L304" s="422"/>
      <c r="M304" s="422"/>
      <c r="N304" s="422"/>
      <c r="O304" s="422"/>
      <c r="P304" s="422"/>
      <c r="Q304" s="422"/>
      <c r="R304" s="422"/>
      <c r="S304" s="422"/>
      <c r="T304" s="422"/>
      <c r="U304" s="422"/>
      <c r="V304" s="422"/>
      <c r="W304" s="422"/>
      <c r="X304" s="422"/>
      <c r="Y304" s="422"/>
      <c r="Z304" s="422"/>
    </row>
    <row r="305" spans="1:26" ht="15" thickBot="1">
      <c r="A305" s="422"/>
      <c r="B305" s="422"/>
      <c r="C305" s="422"/>
      <c r="D305" s="422"/>
      <c r="E305" s="422"/>
      <c r="F305" s="422"/>
      <c r="G305" s="422"/>
      <c r="H305" s="422"/>
      <c r="I305" s="422"/>
      <c r="J305" s="422"/>
      <c r="K305" s="422"/>
      <c r="L305" s="422"/>
      <c r="M305" s="422"/>
      <c r="N305" s="422"/>
      <c r="O305" s="422"/>
      <c r="P305" s="422"/>
      <c r="Q305" s="422"/>
      <c r="R305" s="422"/>
      <c r="S305" s="422"/>
      <c r="T305" s="422"/>
      <c r="U305" s="422"/>
      <c r="V305" s="422"/>
      <c r="W305" s="422"/>
      <c r="X305" s="422"/>
      <c r="Y305" s="422"/>
      <c r="Z305" s="422"/>
    </row>
    <row r="306" spans="1:26" ht="15" thickBot="1">
      <c r="A306" s="422"/>
      <c r="B306" s="422"/>
      <c r="C306" s="422"/>
      <c r="D306" s="422"/>
      <c r="E306" s="422"/>
      <c r="F306" s="422"/>
      <c r="G306" s="422"/>
      <c r="H306" s="422"/>
      <c r="I306" s="422"/>
      <c r="J306" s="422"/>
      <c r="K306" s="422"/>
      <c r="L306" s="422"/>
      <c r="M306" s="422"/>
      <c r="N306" s="422"/>
      <c r="O306" s="422"/>
      <c r="P306" s="422"/>
      <c r="Q306" s="422"/>
      <c r="R306" s="422"/>
      <c r="S306" s="422"/>
      <c r="T306" s="422"/>
      <c r="U306" s="422"/>
      <c r="V306" s="422"/>
      <c r="W306" s="422"/>
      <c r="X306" s="422"/>
      <c r="Y306" s="422"/>
      <c r="Z306" s="422"/>
    </row>
    <row r="307" spans="1:26" ht="15" thickBot="1">
      <c r="A307" s="422"/>
      <c r="B307" s="422"/>
      <c r="C307" s="422"/>
      <c r="D307" s="422"/>
      <c r="E307" s="422"/>
      <c r="F307" s="422"/>
      <c r="G307" s="422"/>
      <c r="H307" s="422"/>
      <c r="I307" s="422"/>
      <c r="J307" s="422"/>
      <c r="K307" s="422"/>
      <c r="L307" s="422"/>
      <c r="M307" s="422"/>
      <c r="N307" s="422"/>
      <c r="O307" s="422"/>
      <c r="P307" s="422"/>
      <c r="Q307" s="422"/>
      <c r="R307" s="422"/>
      <c r="S307" s="422"/>
      <c r="T307" s="422"/>
      <c r="U307" s="422"/>
      <c r="V307" s="422"/>
      <c r="W307" s="422"/>
      <c r="X307" s="422"/>
      <c r="Y307" s="422"/>
      <c r="Z307" s="422"/>
    </row>
    <row r="308" spans="1:26" ht="15" thickBot="1">
      <c r="A308" s="422"/>
      <c r="B308" s="422"/>
      <c r="C308" s="422"/>
      <c r="D308" s="422"/>
      <c r="E308" s="422"/>
      <c r="F308" s="422"/>
      <c r="G308" s="422"/>
      <c r="H308" s="422"/>
      <c r="I308" s="422"/>
      <c r="J308" s="422"/>
      <c r="K308" s="422"/>
      <c r="L308" s="422"/>
      <c r="M308" s="422"/>
      <c r="N308" s="422"/>
      <c r="O308" s="422"/>
      <c r="P308" s="422"/>
      <c r="Q308" s="422"/>
      <c r="R308" s="422"/>
      <c r="S308" s="422"/>
      <c r="T308" s="422"/>
      <c r="U308" s="422"/>
      <c r="V308" s="422"/>
      <c r="W308" s="422"/>
      <c r="X308" s="422"/>
      <c r="Y308" s="422"/>
      <c r="Z308" s="422"/>
    </row>
    <row r="309" spans="1:26" ht="15" thickBot="1">
      <c r="A309" s="422"/>
      <c r="B309" s="422"/>
      <c r="C309" s="422"/>
      <c r="D309" s="422"/>
      <c r="E309" s="422"/>
      <c r="F309" s="422"/>
      <c r="G309" s="422"/>
      <c r="H309" s="422"/>
      <c r="I309" s="422"/>
      <c r="J309" s="422"/>
      <c r="K309" s="422"/>
      <c r="L309" s="422"/>
      <c r="M309" s="422"/>
      <c r="N309" s="422"/>
      <c r="O309" s="422"/>
      <c r="P309" s="422"/>
      <c r="Q309" s="422"/>
      <c r="R309" s="422"/>
      <c r="S309" s="422"/>
      <c r="T309" s="422"/>
      <c r="U309" s="422"/>
      <c r="V309" s="422"/>
      <c r="W309" s="422"/>
      <c r="X309" s="422"/>
      <c r="Y309" s="422"/>
      <c r="Z309" s="422"/>
    </row>
    <row r="310" spans="1:26" ht="15" thickBot="1">
      <c r="A310" s="422"/>
      <c r="B310" s="422"/>
      <c r="C310" s="422"/>
      <c r="D310" s="422"/>
      <c r="E310" s="422"/>
      <c r="F310" s="422"/>
      <c r="G310" s="422"/>
      <c r="H310" s="422"/>
      <c r="I310" s="422"/>
      <c r="J310" s="422"/>
      <c r="K310" s="422"/>
      <c r="L310" s="422"/>
      <c r="M310" s="422"/>
      <c r="N310" s="422"/>
      <c r="O310" s="422"/>
      <c r="P310" s="422"/>
      <c r="Q310" s="422"/>
      <c r="R310" s="422"/>
      <c r="S310" s="422"/>
      <c r="T310" s="422"/>
      <c r="U310" s="422"/>
      <c r="V310" s="422"/>
      <c r="W310" s="422"/>
      <c r="X310" s="422"/>
      <c r="Y310" s="422"/>
      <c r="Z310" s="422"/>
    </row>
    <row r="311" spans="1:26" ht="15" thickBot="1">
      <c r="A311" s="422"/>
      <c r="B311" s="422"/>
      <c r="C311" s="422"/>
      <c r="D311" s="422"/>
      <c r="E311" s="422"/>
      <c r="F311" s="422"/>
      <c r="G311" s="422"/>
      <c r="H311" s="422"/>
      <c r="I311" s="422"/>
      <c r="J311" s="422"/>
      <c r="K311" s="422"/>
      <c r="L311" s="422"/>
      <c r="M311" s="422"/>
      <c r="N311" s="422"/>
      <c r="O311" s="422"/>
      <c r="P311" s="422"/>
      <c r="Q311" s="422"/>
      <c r="R311" s="422"/>
      <c r="S311" s="422"/>
      <c r="T311" s="422"/>
      <c r="U311" s="422"/>
      <c r="V311" s="422"/>
      <c r="W311" s="422"/>
      <c r="X311" s="422"/>
      <c r="Y311" s="422"/>
      <c r="Z311" s="422"/>
    </row>
    <row r="312" spans="1:26" ht="15" thickBot="1">
      <c r="A312" s="422"/>
      <c r="B312" s="422"/>
      <c r="C312" s="422"/>
      <c r="D312" s="422"/>
      <c r="E312" s="422"/>
      <c r="F312" s="422"/>
      <c r="G312" s="422"/>
      <c r="H312" s="422"/>
      <c r="I312" s="422"/>
      <c r="J312" s="422"/>
      <c r="K312" s="422"/>
      <c r="L312" s="422"/>
      <c r="M312" s="422"/>
      <c r="N312" s="422"/>
      <c r="O312" s="422"/>
      <c r="P312" s="422"/>
      <c r="Q312" s="422"/>
      <c r="R312" s="422"/>
      <c r="S312" s="422"/>
      <c r="T312" s="422"/>
      <c r="U312" s="422"/>
      <c r="V312" s="422"/>
      <c r="W312" s="422"/>
      <c r="X312" s="422"/>
      <c r="Y312" s="422"/>
      <c r="Z312" s="422"/>
    </row>
    <row r="313" spans="1:26" ht="15" thickBot="1">
      <c r="A313" s="422"/>
      <c r="B313" s="422"/>
      <c r="C313" s="422"/>
      <c r="D313" s="422"/>
      <c r="E313" s="422"/>
      <c r="F313" s="422"/>
      <c r="G313" s="422"/>
      <c r="H313" s="422"/>
      <c r="I313" s="422"/>
      <c r="J313" s="422"/>
      <c r="K313" s="422"/>
      <c r="L313" s="422"/>
      <c r="M313" s="422"/>
      <c r="N313" s="422"/>
      <c r="O313" s="422"/>
      <c r="P313" s="422"/>
      <c r="Q313" s="422"/>
      <c r="R313" s="422"/>
      <c r="S313" s="422"/>
      <c r="T313" s="422"/>
      <c r="U313" s="422"/>
      <c r="V313" s="422"/>
      <c r="W313" s="422"/>
      <c r="X313" s="422"/>
      <c r="Y313" s="422"/>
      <c r="Z313" s="422"/>
    </row>
    <row r="314" spans="1:26" ht="15" thickBot="1">
      <c r="A314" s="422"/>
      <c r="B314" s="422"/>
      <c r="C314" s="422"/>
      <c r="D314" s="422"/>
      <c r="E314" s="422"/>
      <c r="F314" s="422"/>
      <c r="G314" s="422"/>
      <c r="H314" s="422"/>
      <c r="I314" s="422"/>
      <c r="J314" s="422"/>
      <c r="K314" s="422"/>
      <c r="L314" s="422"/>
      <c r="M314" s="422"/>
      <c r="N314" s="422"/>
      <c r="O314" s="422"/>
      <c r="P314" s="422"/>
      <c r="Q314" s="422"/>
      <c r="R314" s="422"/>
      <c r="S314" s="422"/>
      <c r="T314" s="422"/>
      <c r="U314" s="422"/>
      <c r="V314" s="422"/>
      <c r="W314" s="422"/>
      <c r="X314" s="422"/>
      <c r="Y314" s="422"/>
      <c r="Z314" s="422"/>
    </row>
    <row r="315" spans="1:26" ht="15" thickBot="1">
      <c r="A315" s="422"/>
      <c r="B315" s="422"/>
      <c r="C315" s="422"/>
      <c r="D315" s="422"/>
      <c r="E315" s="422"/>
      <c r="F315" s="422"/>
      <c r="G315" s="422"/>
      <c r="H315" s="422"/>
      <c r="I315" s="422"/>
      <c r="J315" s="422"/>
      <c r="K315" s="422"/>
      <c r="L315" s="422"/>
      <c r="M315" s="422"/>
      <c r="N315" s="422"/>
      <c r="O315" s="422"/>
      <c r="P315" s="422"/>
      <c r="Q315" s="422"/>
      <c r="R315" s="422"/>
      <c r="S315" s="422"/>
      <c r="T315" s="422"/>
      <c r="U315" s="422"/>
      <c r="V315" s="422"/>
      <c r="W315" s="422"/>
      <c r="X315" s="422"/>
      <c r="Y315" s="422"/>
      <c r="Z315" s="422"/>
    </row>
    <row r="316" spans="1:26" ht="15" thickBot="1">
      <c r="A316" s="422"/>
      <c r="B316" s="422"/>
      <c r="C316" s="422"/>
      <c r="D316" s="422"/>
      <c r="E316" s="422"/>
      <c r="F316" s="422"/>
      <c r="G316" s="422"/>
      <c r="H316" s="422"/>
      <c r="I316" s="422"/>
      <c r="J316" s="422"/>
      <c r="K316" s="422"/>
      <c r="L316" s="422"/>
      <c r="M316" s="422"/>
      <c r="N316" s="422"/>
      <c r="O316" s="422"/>
      <c r="P316" s="422"/>
      <c r="Q316" s="422"/>
      <c r="R316" s="422"/>
      <c r="S316" s="422"/>
      <c r="T316" s="422"/>
      <c r="U316" s="422"/>
      <c r="V316" s="422"/>
      <c r="W316" s="422"/>
      <c r="X316" s="422"/>
      <c r="Y316" s="422"/>
      <c r="Z316" s="422"/>
    </row>
    <row r="317" spans="1:26" ht="15" thickBot="1">
      <c r="A317" s="422"/>
      <c r="B317" s="422"/>
      <c r="C317" s="422"/>
      <c r="D317" s="422"/>
      <c r="E317" s="422"/>
      <c r="F317" s="422"/>
      <c r="G317" s="422"/>
      <c r="H317" s="422"/>
      <c r="I317" s="422"/>
      <c r="J317" s="422"/>
      <c r="K317" s="422"/>
      <c r="L317" s="422"/>
      <c r="M317" s="422"/>
      <c r="N317" s="422"/>
      <c r="O317" s="422"/>
      <c r="P317" s="422"/>
      <c r="Q317" s="422"/>
      <c r="R317" s="422"/>
      <c r="S317" s="422"/>
      <c r="T317" s="422"/>
      <c r="U317" s="422"/>
      <c r="V317" s="422"/>
      <c r="W317" s="422"/>
      <c r="X317" s="422"/>
      <c r="Y317" s="422"/>
      <c r="Z317" s="422"/>
    </row>
    <row r="318" spans="1:26" ht="15" thickBot="1">
      <c r="A318" s="422"/>
      <c r="B318" s="422"/>
      <c r="C318" s="422"/>
      <c r="D318" s="422"/>
      <c r="E318" s="422"/>
      <c r="F318" s="422"/>
      <c r="G318" s="422"/>
      <c r="H318" s="422"/>
      <c r="I318" s="422"/>
      <c r="J318" s="422"/>
      <c r="K318" s="422"/>
      <c r="L318" s="422"/>
      <c r="M318" s="422"/>
      <c r="N318" s="422"/>
      <c r="O318" s="422"/>
      <c r="P318" s="422"/>
      <c r="Q318" s="422"/>
      <c r="R318" s="422"/>
      <c r="S318" s="422"/>
      <c r="T318" s="422"/>
      <c r="U318" s="422"/>
      <c r="V318" s="422"/>
      <c r="W318" s="422"/>
      <c r="X318" s="422"/>
      <c r="Y318" s="422"/>
      <c r="Z318" s="422"/>
    </row>
    <row r="319" spans="1:26" ht="15" thickBot="1">
      <c r="A319" s="422"/>
      <c r="B319" s="422"/>
      <c r="C319" s="422"/>
      <c r="D319" s="422"/>
      <c r="E319" s="422"/>
      <c r="F319" s="422"/>
      <c r="G319" s="422"/>
      <c r="H319" s="422"/>
      <c r="I319" s="422"/>
      <c r="J319" s="422"/>
      <c r="K319" s="422"/>
      <c r="L319" s="422"/>
      <c r="M319" s="422"/>
      <c r="N319" s="422"/>
      <c r="O319" s="422"/>
      <c r="P319" s="422"/>
      <c r="Q319" s="422"/>
      <c r="R319" s="422"/>
      <c r="S319" s="422"/>
      <c r="T319" s="422"/>
      <c r="U319" s="422"/>
      <c r="V319" s="422"/>
      <c r="W319" s="422"/>
      <c r="X319" s="422"/>
      <c r="Y319" s="422"/>
      <c r="Z319" s="422"/>
    </row>
    <row r="320" spans="1:26" ht="15" thickBot="1">
      <c r="A320" s="422"/>
      <c r="B320" s="422"/>
      <c r="C320" s="422"/>
      <c r="D320" s="422"/>
      <c r="E320" s="422"/>
      <c r="F320" s="422"/>
      <c r="G320" s="422"/>
      <c r="H320" s="422"/>
      <c r="I320" s="422"/>
      <c r="J320" s="422"/>
      <c r="K320" s="422"/>
      <c r="L320" s="422"/>
      <c r="M320" s="422"/>
      <c r="N320" s="422"/>
      <c r="O320" s="422"/>
      <c r="P320" s="422"/>
      <c r="Q320" s="422"/>
      <c r="R320" s="422"/>
      <c r="S320" s="422"/>
      <c r="T320" s="422"/>
      <c r="U320" s="422"/>
      <c r="V320" s="422"/>
      <c r="W320" s="422"/>
      <c r="X320" s="422"/>
      <c r="Y320" s="422"/>
      <c r="Z320" s="422"/>
    </row>
    <row r="321" spans="1:26" ht="15" thickBot="1">
      <c r="A321" s="422"/>
      <c r="B321" s="422"/>
      <c r="C321" s="422"/>
      <c r="D321" s="422"/>
      <c r="E321" s="422"/>
      <c r="F321" s="422"/>
      <c r="G321" s="422"/>
      <c r="H321" s="422"/>
      <c r="I321" s="422"/>
      <c r="J321" s="422"/>
      <c r="K321" s="422"/>
      <c r="L321" s="422"/>
      <c r="M321" s="422"/>
      <c r="N321" s="422"/>
      <c r="O321" s="422"/>
      <c r="P321" s="422"/>
      <c r="Q321" s="422"/>
      <c r="R321" s="422"/>
      <c r="S321" s="422"/>
      <c r="T321" s="422"/>
      <c r="U321" s="422"/>
      <c r="V321" s="422"/>
      <c r="W321" s="422"/>
      <c r="X321" s="422"/>
      <c r="Y321" s="422"/>
      <c r="Z321" s="422"/>
    </row>
    <row r="322" spans="1:26" ht="15" thickBot="1">
      <c r="A322" s="422"/>
      <c r="B322" s="422"/>
      <c r="C322" s="422"/>
      <c r="D322" s="422"/>
      <c r="E322" s="422"/>
      <c r="F322" s="422"/>
      <c r="G322" s="422"/>
      <c r="H322" s="422"/>
      <c r="I322" s="422"/>
      <c r="J322" s="422"/>
      <c r="K322" s="422"/>
      <c r="L322" s="422"/>
      <c r="M322" s="422"/>
      <c r="N322" s="422"/>
      <c r="O322" s="422"/>
      <c r="P322" s="422"/>
      <c r="Q322" s="422"/>
      <c r="R322" s="422"/>
      <c r="S322" s="422"/>
      <c r="T322" s="422"/>
      <c r="U322" s="422"/>
      <c r="V322" s="422"/>
      <c r="W322" s="422"/>
      <c r="X322" s="422"/>
      <c r="Y322" s="422"/>
      <c r="Z322" s="422"/>
    </row>
    <row r="323" spans="1:26" ht="15" thickBot="1">
      <c r="A323" s="422"/>
      <c r="B323" s="422"/>
      <c r="C323" s="422"/>
      <c r="D323" s="422"/>
      <c r="E323" s="422"/>
      <c r="F323" s="422"/>
      <c r="G323" s="422"/>
      <c r="H323" s="422"/>
      <c r="I323" s="422"/>
      <c r="J323" s="422"/>
      <c r="K323" s="422"/>
      <c r="L323" s="422"/>
      <c r="M323" s="422"/>
      <c r="N323" s="422"/>
      <c r="O323" s="422"/>
      <c r="P323" s="422"/>
      <c r="Q323" s="422"/>
      <c r="R323" s="422"/>
      <c r="S323" s="422"/>
      <c r="T323" s="422"/>
      <c r="U323" s="422"/>
      <c r="V323" s="422"/>
      <c r="W323" s="422"/>
      <c r="X323" s="422"/>
      <c r="Y323" s="422"/>
      <c r="Z323" s="422"/>
    </row>
    <row r="324" spans="1:26" ht="15" thickBot="1">
      <c r="A324" s="422"/>
      <c r="B324" s="422"/>
      <c r="C324" s="422"/>
      <c r="D324" s="422"/>
      <c r="E324" s="422"/>
      <c r="F324" s="422"/>
      <c r="G324" s="422"/>
      <c r="H324" s="422"/>
      <c r="I324" s="422"/>
      <c r="J324" s="422"/>
      <c r="K324" s="422"/>
      <c r="L324" s="422"/>
      <c r="M324" s="422"/>
      <c r="N324" s="422"/>
      <c r="O324" s="422"/>
      <c r="P324" s="422"/>
      <c r="Q324" s="422"/>
      <c r="R324" s="422"/>
      <c r="S324" s="422"/>
      <c r="T324" s="422"/>
      <c r="U324" s="422"/>
      <c r="V324" s="422"/>
      <c r="W324" s="422"/>
      <c r="X324" s="422"/>
      <c r="Y324" s="422"/>
      <c r="Z324" s="422"/>
    </row>
    <row r="325" spans="1:26" ht="15" thickBot="1">
      <c r="A325" s="422"/>
      <c r="B325" s="422"/>
      <c r="C325" s="422"/>
      <c r="D325" s="422"/>
      <c r="E325" s="422"/>
      <c r="F325" s="422"/>
      <c r="G325" s="422"/>
      <c r="H325" s="422"/>
      <c r="I325" s="422"/>
      <c r="J325" s="422"/>
      <c r="K325" s="422"/>
      <c r="L325" s="422"/>
      <c r="M325" s="422"/>
      <c r="N325" s="422"/>
      <c r="O325" s="422"/>
      <c r="P325" s="422"/>
      <c r="Q325" s="422"/>
      <c r="R325" s="422"/>
      <c r="S325" s="422"/>
      <c r="T325" s="422"/>
      <c r="U325" s="422"/>
      <c r="V325" s="422"/>
      <c r="W325" s="422"/>
      <c r="X325" s="422"/>
      <c r="Y325" s="422"/>
      <c r="Z325" s="422"/>
    </row>
    <row r="326" spans="1:26" ht="15" thickBot="1">
      <c r="A326" s="422"/>
      <c r="B326" s="422"/>
      <c r="C326" s="422"/>
      <c r="D326" s="422"/>
      <c r="E326" s="422"/>
      <c r="F326" s="422"/>
      <c r="G326" s="422"/>
      <c r="H326" s="422"/>
      <c r="I326" s="422"/>
      <c r="J326" s="422"/>
      <c r="K326" s="422"/>
      <c r="L326" s="422"/>
      <c r="M326" s="422"/>
      <c r="N326" s="422"/>
      <c r="O326" s="422"/>
      <c r="P326" s="422"/>
      <c r="Q326" s="422"/>
      <c r="R326" s="422"/>
      <c r="S326" s="422"/>
      <c r="T326" s="422"/>
      <c r="U326" s="422"/>
      <c r="V326" s="422"/>
      <c r="W326" s="422"/>
      <c r="X326" s="422"/>
      <c r="Y326" s="422"/>
      <c r="Z326" s="422"/>
    </row>
    <row r="327" spans="1:26" ht="15" thickBot="1">
      <c r="A327" s="422"/>
      <c r="B327" s="422"/>
      <c r="C327" s="422"/>
      <c r="D327" s="422"/>
      <c r="E327" s="422"/>
      <c r="F327" s="422"/>
      <c r="G327" s="422"/>
      <c r="H327" s="422"/>
      <c r="I327" s="422"/>
      <c r="J327" s="422"/>
      <c r="K327" s="422"/>
      <c r="L327" s="422"/>
      <c r="M327" s="422"/>
      <c r="N327" s="422"/>
      <c r="O327" s="422"/>
      <c r="P327" s="422"/>
      <c r="Q327" s="422"/>
      <c r="R327" s="422"/>
      <c r="S327" s="422"/>
      <c r="T327" s="422"/>
      <c r="U327" s="422"/>
      <c r="V327" s="422"/>
      <c r="W327" s="422"/>
      <c r="X327" s="422"/>
      <c r="Y327" s="422"/>
      <c r="Z327" s="422"/>
    </row>
    <row r="328" spans="1:26" ht="15" thickBot="1">
      <c r="A328" s="422"/>
      <c r="B328" s="422"/>
      <c r="C328" s="422"/>
      <c r="D328" s="422"/>
      <c r="E328" s="422"/>
      <c r="F328" s="422"/>
      <c r="G328" s="422"/>
      <c r="H328" s="422"/>
      <c r="I328" s="422"/>
      <c r="J328" s="422"/>
      <c r="K328" s="422"/>
      <c r="L328" s="422"/>
      <c r="M328" s="422"/>
      <c r="N328" s="422"/>
      <c r="O328" s="422"/>
      <c r="P328" s="422"/>
      <c r="Q328" s="422"/>
      <c r="R328" s="422"/>
      <c r="S328" s="422"/>
      <c r="T328" s="422"/>
      <c r="U328" s="422"/>
      <c r="V328" s="422"/>
      <c r="W328" s="422"/>
      <c r="X328" s="422"/>
      <c r="Y328" s="422"/>
      <c r="Z328" s="422"/>
    </row>
    <row r="329" spans="1:26" ht="15" thickBot="1">
      <c r="A329" s="422"/>
      <c r="B329" s="422"/>
      <c r="C329" s="422"/>
      <c r="D329" s="422"/>
      <c r="E329" s="422"/>
      <c r="F329" s="422"/>
      <c r="G329" s="422"/>
      <c r="H329" s="422"/>
      <c r="I329" s="422"/>
      <c r="J329" s="422"/>
      <c r="K329" s="422"/>
      <c r="L329" s="422"/>
      <c r="M329" s="422"/>
      <c r="N329" s="422"/>
      <c r="O329" s="422"/>
      <c r="P329" s="422"/>
      <c r="Q329" s="422"/>
      <c r="R329" s="422"/>
      <c r="S329" s="422"/>
      <c r="T329" s="422"/>
      <c r="U329" s="422"/>
      <c r="V329" s="422"/>
      <c r="W329" s="422"/>
      <c r="X329" s="422"/>
      <c r="Y329" s="422"/>
      <c r="Z329" s="422"/>
    </row>
    <row r="330" spans="1:26" ht="15" thickBot="1">
      <c r="A330" s="422"/>
      <c r="B330" s="422"/>
      <c r="C330" s="422"/>
      <c r="D330" s="422"/>
      <c r="E330" s="422"/>
      <c r="F330" s="422"/>
      <c r="G330" s="422"/>
      <c r="H330" s="422"/>
      <c r="I330" s="422"/>
      <c r="J330" s="422"/>
      <c r="K330" s="422"/>
      <c r="L330" s="422"/>
      <c r="M330" s="422"/>
      <c r="N330" s="422"/>
      <c r="O330" s="422"/>
      <c r="P330" s="422"/>
      <c r="Q330" s="422"/>
      <c r="R330" s="422"/>
      <c r="S330" s="422"/>
      <c r="T330" s="422"/>
      <c r="U330" s="422"/>
      <c r="V330" s="422"/>
      <c r="W330" s="422"/>
      <c r="X330" s="422"/>
      <c r="Y330" s="422"/>
      <c r="Z330" s="422"/>
    </row>
    <row r="331" spans="1:26" ht="15" thickBot="1">
      <c r="A331" s="422"/>
      <c r="B331" s="422"/>
      <c r="C331" s="422"/>
      <c r="D331" s="422"/>
      <c r="E331" s="422"/>
      <c r="F331" s="422"/>
      <c r="G331" s="422"/>
      <c r="H331" s="422"/>
      <c r="I331" s="422"/>
      <c r="J331" s="422"/>
      <c r="K331" s="422"/>
      <c r="L331" s="422"/>
      <c r="M331" s="422"/>
      <c r="N331" s="422"/>
      <c r="O331" s="422"/>
      <c r="P331" s="422"/>
      <c r="Q331" s="422"/>
      <c r="R331" s="422"/>
      <c r="S331" s="422"/>
      <c r="T331" s="422"/>
      <c r="U331" s="422"/>
      <c r="V331" s="422"/>
      <c r="W331" s="422"/>
      <c r="X331" s="422"/>
      <c r="Y331" s="422"/>
      <c r="Z331" s="422"/>
    </row>
    <row r="332" spans="1:26" ht="15" thickBot="1">
      <c r="A332" s="422"/>
      <c r="B332" s="422"/>
      <c r="C332" s="422"/>
      <c r="D332" s="422"/>
      <c r="E332" s="422"/>
      <c r="F332" s="422"/>
      <c r="G332" s="422"/>
      <c r="H332" s="422"/>
      <c r="I332" s="422"/>
      <c r="J332" s="422"/>
      <c r="K332" s="422"/>
      <c r="L332" s="422"/>
      <c r="M332" s="422"/>
      <c r="N332" s="422"/>
      <c r="O332" s="422"/>
      <c r="P332" s="422"/>
      <c r="Q332" s="422"/>
      <c r="R332" s="422"/>
      <c r="S332" s="422"/>
      <c r="T332" s="422"/>
      <c r="U332" s="422"/>
      <c r="V332" s="422"/>
      <c r="W332" s="422"/>
      <c r="X332" s="422"/>
      <c r="Y332" s="422"/>
      <c r="Z332" s="422"/>
    </row>
    <row r="333" spans="1:26" ht="15" thickBot="1">
      <c r="A333" s="422"/>
      <c r="B333" s="422"/>
      <c r="C333" s="422"/>
      <c r="D333" s="422"/>
      <c r="E333" s="422"/>
      <c r="F333" s="422"/>
      <c r="G333" s="422"/>
      <c r="H333" s="422"/>
      <c r="I333" s="422"/>
      <c r="J333" s="422"/>
      <c r="K333" s="422"/>
      <c r="L333" s="422"/>
      <c r="M333" s="422"/>
      <c r="N333" s="422"/>
      <c r="O333" s="422"/>
      <c r="P333" s="422"/>
      <c r="Q333" s="422"/>
      <c r="R333" s="422"/>
      <c r="S333" s="422"/>
      <c r="T333" s="422"/>
      <c r="U333" s="422"/>
      <c r="V333" s="422"/>
      <c r="W333" s="422"/>
      <c r="X333" s="422"/>
      <c r="Y333" s="422"/>
      <c r="Z333" s="422"/>
    </row>
    <row r="334" spans="1:26" ht="15" thickBot="1">
      <c r="A334" s="422"/>
      <c r="B334" s="422"/>
      <c r="C334" s="422"/>
      <c r="D334" s="422"/>
      <c r="E334" s="422"/>
      <c r="F334" s="422"/>
      <c r="G334" s="422"/>
      <c r="H334" s="422"/>
      <c r="I334" s="422"/>
      <c r="J334" s="422"/>
      <c r="K334" s="422"/>
      <c r="L334" s="422"/>
      <c r="M334" s="422"/>
      <c r="N334" s="422"/>
      <c r="O334" s="422"/>
      <c r="P334" s="422"/>
      <c r="Q334" s="422"/>
      <c r="R334" s="422"/>
      <c r="S334" s="422"/>
      <c r="T334" s="422"/>
      <c r="U334" s="422"/>
      <c r="V334" s="422"/>
      <c r="W334" s="422"/>
      <c r="X334" s="422"/>
      <c r="Y334" s="422"/>
      <c r="Z334" s="422"/>
    </row>
    <row r="335" spans="1:26" ht="15" thickBot="1">
      <c r="A335" s="422"/>
      <c r="B335" s="422"/>
      <c r="C335" s="422"/>
      <c r="D335" s="422"/>
      <c r="E335" s="422"/>
      <c r="F335" s="422"/>
      <c r="G335" s="422"/>
      <c r="H335" s="422"/>
      <c r="I335" s="422"/>
      <c r="J335" s="422"/>
      <c r="K335" s="422"/>
      <c r="L335" s="422"/>
      <c r="M335" s="422"/>
      <c r="N335" s="422"/>
      <c r="O335" s="422"/>
      <c r="P335" s="422"/>
      <c r="Q335" s="422"/>
      <c r="R335" s="422"/>
      <c r="S335" s="422"/>
      <c r="T335" s="422"/>
      <c r="U335" s="422"/>
      <c r="V335" s="422"/>
      <c r="W335" s="422"/>
      <c r="X335" s="422"/>
      <c r="Y335" s="422"/>
      <c r="Z335" s="422"/>
    </row>
    <row r="336" spans="1:26" ht="15" thickBot="1">
      <c r="A336" s="422"/>
      <c r="B336" s="422"/>
      <c r="C336" s="422"/>
      <c r="D336" s="422"/>
      <c r="E336" s="422"/>
      <c r="F336" s="422"/>
      <c r="G336" s="422"/>
      <c r="H336" s="422"/>
      <c r="I336" s="422"/>
      <c r="J336" s="422"/>
      <c r="K336" s="422"/>
      <c r="L336" s="422"/>
      <c r="M336" s="422"/>
      <c r="N336" s="422"/>
      <c r="O336" s="422"/>
      <c r="P336" s="422"/>
      <c r="Q336" s="422"/>
      <c r="R336" s="422"/>
      <c r="S336" s="422"/>
      <c r="T336" s="422"/>
      <c r="U336" s="422"/>
      <c r="V336" s="422"/>
      <c r="W336" s="422"/>
      <c r="X336" s="422"/>
      <c r="Y336" s="422"/>
      <c r="Z336" s="422"/>
    </row>
    <row r="337" spans="1:26" ht="15" thickBot="1">
      <c r="A337" s="422"/>
      <c r="B337" s="422"/>
      <c r="C337" s="422"/>
      <c r="D337" s="422"/>
      <c r="E337" s="422"/>
      <c r="F337" s="422"/>
      <c r="G337" s="422"/>
      <c r="H337" s="422"/>
      <c r="I337" s="422"/>
      <c r="J337" s="422"/>
      <c r="K337" s="422"/>
      <c r="L337" s="422"/>
      <c r="M337" s="422"/>
      <c r="N337" s="422"/>
      <c r="O337" s="422"/>
      <c r="P337" s="422"/>
      <c r="Q337" s="422"/>
      <c r="R337" s="422"/>
      <c r="S337" s="422"/>
      <c r="T337" s="422"/>
      <c r="U337" s="422"/>
      <c r="V337" s="422"/>
      <c r="W337" s="422"/>
      <c r="X337" s="422"/>
      <c r="Y337" s="422"/>
      <c r="Z337" s="422"/>
    </row>
    <row r="338" spans="1:26" ht="15" thickBot="1">
      <c r="A338" s="422"/>
      <c r="B338" s="422"/>
      <c r="C338" s="422"/>
      <c r="D338" s="422"/>
      <c r="E338" s="422"/>
      <c r="F338" s="422"/>
      <c r="G338" s="422"/>
      <c r="H338" s="422"/>
      <c r="I338" s="422"/>
      <c r="J338" s="422"/>
      <c r="K338" s="422"/>
      <c r="L338" s="422"/>
      <c r="M338" s="422"/>
      <c r="N338" s="422"/>
      <c r="O338" s="422"/>
      <c r="P338" s="422"/>
      <c r="Q338" s="422"/>
      <c r="R338" s="422"/>
      <c r="S338" s="422"/>
      <c r="T338" s="422"/>
      <c r="U338" s="422"/>
      <c r="V338" s="422"/>
      <c r="W338" s="422"/>
      <c r="X338" s="422"/>
      <c r="Y338" s="422"/>
      <c r="Z338" s="422"/>
    </row>
    <row r="339" spans="1:26" ht="15" thickBot="1">
      <c r="A339" s="422"/>
      <c r="B339" s="422"/>
      <c r="C339" s="422"/>
      <c r="D339" s="422"/>
      <c r="E339" s="422"/>
      <c r="F339" s="422"/>
      <c r="G339" s="422"/>
      <c r="H339" s="422"/>
      <c r="I339" s="422"/>
      <c r="J339" s="422"/>
      <c r="K339" s="422"/>
      <c r="L339" s="422"/>
      <c r="M339" s="422"/>
      <c r="N339" s="422"/>
      <c r="O339" s="422"/>
      <c r="P339" s="422"/>
      <c r="Q339" s="422"/>
      <c r="R339" s="422"/>
      <c r="S339" s="422"/>
      <c r="T339" s="422"/>
      <c r="U339" s="422"/>
      <c r="V339" s="422"/>
      <c r="W339" s="422"/>
      <c r="X339" s="422"/>
      <c r="Y339" s="422"/>
      <c r="Z339" s="422"/>
    </row>
    <row r="340" spans="1:26" ht="15" thickBot="1">
      <c r="A340" s="422"/>
      <c r="B340" s="422"/>
      <c r="C340" s="422"/>
      <c r="D340" s="422"/>
      <c r="E340" s="422"/>
      <c r="F340" s="422"/>
      <c r="G340" s="422"/>
      <c r="H340" s="422"/>
      <c r="I340" s="422"/>
      <c r="J340" s="422"/>
      <c r="K340" s="422"/>
      <c r="L340" s="422"/>
      <c r="M340" s="422"/>
      <c r="N340" s="422"/>
      <c r="O340" s="422"/>
      <c r="P340" s="422"/>
      <c r="Q340" s="422"/>
      <c r="R340" s="422"/>
      <c r="S340" s="422"/>
      <c r="T340" s="422"/>
      <c r="U340" s="422"/>
      <c r="V340" s="422"/>
      <c r="W340" s="422"/>
      <c r="X340" s="422"/>
      <c r="Y340" s="422"/>
      <c r="Z340" s="422"/>
    </row>
    <row r="341" spans="1:26" ht="15" thickBot="1">
      <c r="A341" s="422"/>
      <c r="B341" s="422"/>
      <c r="C341" s="422"/>
      <c r="D341" s="422"/>
      <c r="E341" s="422"/>
      <c r="F341" s="422"/>
      <c r="G341" s="422"/>
      <c r="H341" s="422"/>
      <c r="I341" s="422"/>
      <c r="J341" s="422"/>
      <c r="K341" s="422"/>
      <c r="L341" s="422"/>
      <c r="M341" s="422"/>
      <c r="N341" s="422"/>
      <c r="O341" s="422"/>
      <c r="P341" s="422"/>
      <c r="Q341" s="422"/>
      <c r="R341" s="422"/>
      <c r="S341" s="422"/>
      <c r="T341" s="422"/>
      <c r="U341" s="422"/>
      <c r="V341" s="422"/>
      <c r="W341" s="422"/>
      <c r="X341" s="422"/>
      <c r="Y341" s="422"/>
      <c r="Z341" s="422"/>
    </row>
    <row r="342" spans="1:26" ht="15" thickBot="1">
      <c r="A342" s="422"/>
      <c r="B342" s="422"/>
      <c r="C342" s="422"/>
      <c r="D342" s="422"/>
      <c r="E342" s="422"/>
      <c r="F342" s="422"/>
      <c r="G342" s="422"/>
      <c r="H342" s="422"/>
      <c r="I342" s="422"/>
      <c r="J342" s="422"/>
      <c r="K342" s="422"/>
      <c r="L342" s="422"/>
      <c r="M342" s="422"/>
      <c r="N342" s="422"/>
      <c r="O342" s="422"/>
      <c r="P342" s="422"/>
      <c r="Q342" s="422"/>
      <c r="R342" s="422"/>
      <c r="S342" s="422"/>
      <c r="T342" s="422"/>
      <c r="U342" s="422"/>
      <c r="V342" s="422"/>
      <c r="W342" s="422"/>
      <c r="X342" s="422"/>
      <c r="Y342" s="422"/>
      <c r="Z342" s="422"/>
    </row>
    <row r="343" spans="1:26" ht="15" thickBot="1">
      <c r="A343" s="422"/>
      <c r="B343" s="422"/>
      <c r="C343" s="422"/>
      <c r="D343" s="422"/>
      <c r="E343" s="422"/>
      <c r="F343" s="422"/>
      <c r="G343" s="422"/>
      <c r="H343" s="422"/>
      <c r="I343" s="422"/>
      <c r="J343" s="422"/>
      <c r="K343" s="422"/>
      <c r="L343" s="422"/>
      <c r="M343" s="422"/>
      <c r="N343" s="422"/>
      <c r="O343" s="422"/>
      <c r="P343" s="422"/>
      <c r="Q343" s="422"/>
      <c r="R343" s="422"/>
      <c r="S343" s="422"/>
      <c r="T343" s="422"/>
      <c r="U343" s="422"/>
      <c r="V343" s="422"/>
      <c r="W343" s="422"/>
      <c r="X343" s="422"/>
      <c r="Y343" s="422"/>
      <c r="Z343" s="422"/>
    </row>
    <row r="344" spans="1:26" ht="15" thickBot="1">
      <c r="A344" s="422"/>
      <c r="B344" s="422"/>
      <c r="C344" s="422"/>
      <c r="D344" s="422"/>
      <c r="E344" s="422"/>
      <c r="F344" s="422"/>
      <c r="G344" s="422"/>
      <c r="H344" s="422"/>
      <c r="I344" s="422"/>
      <c r="J344" s="422"/>
      <c r="K344" s="422"/>
      <c r="L344" s="422"/>
      <c r="M344" s="422"/>
      <c r="N344" s="422"/>
      <c r="O344" s="422"/>
      <c r="P344" s="422"/>
      <c r="Q344" s="422"/>
      <c r="R344" s="422"/>
      <c r="S344" s="422"/>
      <c r="T344" s="422"/>
      <c r="U344" s="422"/>
      <c r="V344" s="422"/>
      <c r="W344" s="422"/>
      <c r="X344" s="422"/>
      <c r="Y344" s="422"/>
      <c r="Z344" s="422"/>
    </row>
    <row r="345" spans="1:26" ht="15" thickBot="1">
      <c r="A345" s="422"/>
      <c r="B345" s="422"/>
      <c r="C345" s="422"/>
      <c r="D345" s="422"/>
      <c r="E345" s="422"/>
      <c r="F345" s="422"/>
      <c r="G345" s="422"/>
      <c r="H345" s="422"/>
      <c r="I345" s="422"/>
      <c r="J345" s="422"/>
      <c r="K345" s="422"/>
      <c r="L345" s="422"/>
      <c r="M345" s="422"/>
      <c r="N345" s="422"/>
      <c r="O345" s="422"/>
      <c r="P345" s="422"/>
      <c r="Q345" s="422"/>
      <c r="R345" s="422"/>
      <c r="S345" s="422"/>
      <c r="T345" s="422"/>
      <c r="U345" s="422"/>
      <c r="V345" s="422"/>
      <c r="W345" s="422"/>
      <c r="X345" s="422"/>
      <c r="Y345" s="422"/>
      <c r="Z345" s="422"/>
    </row>
    <row r="346" spans="1:26" ht="15" thickBot="1">
      <c r="A346" s="422"/>
      <c r="B346" s="422"/>
      <c r="C346" s="422"/>
      <c r="D346" s="422"/>
      <c r="E346" s="422"/>
      <c r="F346" s="422"/>
      <c r="G346" s="422"/>
      <c r="H346" s="422"/>
      <c r="I346" s="422"/>
      <c r="J346" s="422"/>
      <c r="K346" s="422"/>
      <c r="L346" s="422"/>
      <c r="M346" s="422"/>
      <c r="N346" s="422"/>
      <c r="O346" s="422"/>
      <c r="P346" s="422"/>
      <c r="Q346" s="422"/>
      <c r="R346" s="422"/>
      <c r="S346" s="422"/>
      <c r="T346" s="422"/>
      <c r="U346" s="422"/>
      <c r="V346" s="422"/>
      <c r="W346" s="422"/>
      <c r="X346" s="422"/>
      <c r="Y346" s="422"/>
      <c r="Z346" s="422"/>
    </row>
    <row r="347" spans="1:26" ht="15" thickBot="1">
      <c r="A347" s="422"/>
      <c r="B347" s="422"/>
      <c r="C347" s="422"/>
      <c r="D347" s="422"/>
      <c r="E347" s="422"/>
      <c r="F347" s="422"/>
      <c r="G347" s="422"/>
      <c r="H347" s="422"/>
      <c r="I347" s="422"/>
      <c r="J347" s="422"/>
      <c r="K347" s="422"/>
      <c r="L347" s="422"/>
      <c r="M347" s="422"/>
      <c r="N347" s="422"/>
      <c r="O347" s="422"/>
      <c r="P347" s="422"/>
      <c r="Q347" s="422"/>
      <c r="R347" s="422"/>
      <c r="S347" s="422"/>
      <c r="T347" s="422"/>
      <c r="U347" s="422"/>
      <c r="V347" s="422"/>
      <c r="W347" s="422"/>
      <c r="X347" s="422"/>
      <c r="Y347" s="422"/>
      <c r="Z347" s="422"/>
    </row>
    <row r="348" spans="1:26" ht="15" thickBot="1">
      <c r="A348" s="422"/>
      <c r="B348" s="422"/>
      <c r="C348" s="422"/>
      <c r="D348" s="422"/>
      <c r="E348" s="422"/>
      <c r="F348" s="422"/>
      <c r="G348" s="422"/>
      <c r="H348" s="422"/>
      <c r="I348" s="422"/>
      <c r="J348" s="422"/>
      <c r="K348" s="422"/>
      <c r="L348" s="422"/>
      <c r="M348" s="422"/>
      <c r="N348" s="422"/>
      <c r="O348" s="422"/>
      <c r="P348" s="422"/>
      <c r="Q348" s="422"/>
      <c r="R348" s="422"/>
      <c r="S348" s="422"/>
      <c r="T348" s="422"/>
      <c r="U348" s="422"/>
      <c r="V348" s="422"/>
      <c r="W348" s="422"/>
      <c r="X348" s="422"/>
      <c r="Y348" s="422"/>
      <c r="Z348" s="422"/>
    </row>
    <row r="349" spans="1:26" ht="15" thickBot="1">
      <c r="A349" s="422"/>
      <c r="B349" s="422"/>
      <c r="C349" s="422"/>
      <c r="D349" s="422"/>
      <c r="E349" s="422"/>
      <c r="F349" s="422"/>
      <c r="G349" s="422"/>
      <c r="H349" s="422"/>
      <c r="I349" s="422"/>
      <c r="J349" s="422"/>
      <c r="K349" s="422"/>
      <c r="L349" s="422"/>
      <c r="M349" s="422"/>
      <c r="N349" s="422"/>
      <c r="O349" s="422"/>
      <c r="P349" s="422"/>
      <c r="Q349" s="422"/>
      <c r="R349" s="422"/>
      <c r="S349" s="422"/>
      <c r="T349" s="422"/>
      <c r="U349" s="422"/>
      <c r="V349" s="422"/>
      <c r="W349" s="422"/>
      <c r="X349" s="422"/>
      <c r="Y349" s="422"/>
      <c r="Z349" s="422"/>
    </row>
    <row r="350" spans="1:26" ht="15" thickBot="1">
      <c r="A350" s="422"/>
      <c r="B350" s="422"/>
      <c r="C350" s="422"/>
      <c r="D350" s="422"/>
      <c r="E350" s="422"/>
      <c r="F350" s="422"/>
      <c r="G350" s="422"/>
      <c r="H350" s="422"/>
      <c r="I350" s="422"/>
      <c r="J350" s="422"/>
      <c r="K350" s="422"/>
      <c r="L350" s="422"/>
      <c r="M350" s="422"/>
      <c r="N350" s="422"/>
      <c r="O350" s="422"/>
      <c r="P350" s="422"/>
      <c r="Q350" s="422"/>
      <c r="R350" s="422"/>
      <c r="S350" s="422"/>
      <c r="T350" s="422"/>
      <c r="U350" s="422"/>
      <c r="V350" s="422"/>
      <c r="W350" s="422"/>
      <c r="X350" s="422"/>
      <c r="Y350" s="422"/>
      <c r="Z350" s="422"/>
    </row>
    <row r="351" spans="1:26" ht="15" thickBot="1">
      <c r="A351" s="422"/>
      <c r="B351" s="422"/>
      <c r="C351" s="422"/>
      <c r="D351" s="422"/>
      <c r="E351" s="422"/>
      <c r="F351" s="422"/>
      <c r="G351" s="422"/>
      <c r="H351" s="422"/>
      <c r="I351" s="422"/>
      <c r="J351" s="422"/>
      <c r="K351" s="422"/>
      <c r="L351" s="422"/>
      <c r="M351" s="422"/>
      <c r="N351" s="422"/>
      <c r="O351" s="422"/>
      <c r="P351" s="422"/>
      <c r="Q351" s="422"/>
      <c r="R351" s="422"/>
      <c r="S351" s="422"/>
      <c r="T351" s="422"/>
      <c r="U351" s="422"/>
      <c r="V351" s="422"/>
      <c r="W351" s="422"/>
      <c r="X351" s="422"/>
      <c r="Y351" s="422"/>
      <c r="Z351" s="422"/>
    </row>
    <row r="352" spans="1:26" ht="15" thickBot="1">
      <c r="A352" s="422"/>
      <c r="B352" s="422"/>
      <c r="C352" s="422"/>
      <c r="D352" s="422"/>
      <c r="E352" s="422"/>
      <c r="F352" s="422"/>
      <c r="G352" s="422"/>
      <c r="H352" s="422"/>
      <c r="I352" s="422"/>
      <c r="J352" s="422"/>
      <c r="K352" s="422"/>
      <c r="L352" s="422"/>
      <c r="M352" s="422"/>
      <c r="N352" s="422"/>
      <c r="O352" s="422"/>
      <c r="P352" s="422"/>
      <c r="Q352" s="422"/>
      <c r="R352" s="422"/>
      <c r="S352" s="422"/>
      <c r="T352" s="422"/>
      <c r="U352" s="422"/>
      <c r="V352" s="422"/>
      <c r="W352" s="422"/>
      <c r="X352" s="422"/>
      <c r="Y352" s="422"/>
      <c r="Z352" s="422"/>
    </row>
    <row r="353" spans="1:26" ht="15" thickBot="1">
      <c r="A353" s="422"/>
      <c r="B353" s="422"/>
      <c r="C353" s="422"/>
      <c r="D353" s="422"/>
      <c r="E353" s="422"/>
      <c r="F353" s="422"/>
      <c r="G353" s="422"/>
      <c r="H353" s="422"/>
      <c r="I353" s="422"/>
      <c r="J353" s="422"/>
      <c r="K353" s="422"/>
      <c r="L353" s="422"/>
      <c r="M353" s="422"/>
      <c r="N353" s="422"/>
      <c r="O353" s="422"/>
      <c r="P353" s="422"/>
      <c r="Q353" s="422"/>
      <c r="R353" s="422"/>
      <c r="S353" s="422"/>
      <c r="T353" s="422"/>
      <c r="U353" s="422"/>
      <c r="V353" s="422"/>
      <c r="W353" s="422"/>
      <c r="X353" s="422"/>
      <c r="Y353" s="422"/>
      <c r="Z353" s="422"/>
    </row>
    <row r="354" spans="1:26" ht="15" thickBot="1">
      <c r="A354" s="422"/>
      <c r="B354" s="422"/>
      <c r="C354" s="422"/>
      <c r="D354" s="422"/>
      <c r="E354" s="422"/>
      <c r="F354" s="422"/>
      <c r="G354" s="422"/>
      <c r="H354" s="422"/>
      <c r="I354" s="422"/>
      <c r="J354" s="422"/>
      <c r="K354" s="422"/>
      <c r="L354" s="422"/>
      <c r="M354" s="422"/>
      <c r="N354" s="422"/>
      <c r="O354" s="422"/>
      <c r="P354" s="422"/>
      <c r="Q354" s="422"/>
      <c r="R354" s="422"/>
      <c r="S354" s="422"/>
      <c r="T354" s="422"/>
      <c r="U354" s="422"/>
      <c r="V354" s="422"/>
      <c r="W354" s="422"/>
      <c r="X354" s="422"/>
      <c r="Y354" s="422"/>
      <c r="Z354" s="422"/>
    </row>
    <row r="355" spans="1:26" ht="15" thickBot="1">
      <c r="A355" s="422"/>
      <c r="B355" s="422"/>
      <c r="C355" s="422"/>
      <c r="D355" s="422"/>
      <c r="E355" s="422"/>
      <c r="F355" s="422"/>
      <c r="G355" s="422"/>
      <c r="H355" s="422"/>
      <c r="I355" s="422"/>
      <c r="J355" s="422"/>
      <c r="K355" s="422"/>
      <c r="L355" s="422"/>
      <c r="M355" s="422"/>
      <c r="N355" s="422"/>
      <c r="O355" s="422"/>
      <c r="P355" s="422"/>
      <c r="Q355" s="422"/>
      <c r="R355" s="422"/>
      <c r="S355" s="422"/>
      <c r="T355" s="422"/>
      <c r="U355" s="422"/>
      <c r="V355" s="422"/>
      <c r="W355" s="422"/>
      <c r="X355" s="422"/>
      <c r="Y355" s="422"/>
      <c r="Z355" s="422"/>
    </row>
    <row r="356" spans="1:26" ht="15" thickBot="1">
      <c r="A356" s="422"/>
      <c r="B356" s="422"/>
      <c r="C356" s="422"/>
      <c r="D356" s="422"/>
      <c r="E356" s="422"/>
      <c r="F356" s="422"/>
      <c r="G356" s="422"/>
      <c r="H356" s="422"/>
      <c r="I356" s="422"/>
      <c r="J356" s="422"/>
      <c r="K356" s="422"/>
      <c r="L356" s="422"/>
      <c r="M356" s="422"/>
      <c r="N356" s="422"/>
      <c r="O356" s="422"/>
      <c r="P356" s="422"/>
      <c r="Q356" s="422"/>
      <c r="R356" s="422"/>
      <c r="S356" s="422"/>
      <c r="T356" s="422"/>
      <c r="U356" s="422"/>
      <c r="V356" s="422"/>
      <c r="W356" s="422"/>
      <c r="X356" s="422"/>
      <c r="Y356" s="422"/>
      <c r="Z356" s="422"/>
    </row>
    <row r="357" spans="1:26" ht="15" thickBot="1">
      <c r="A357" s="422"/>
      <c r="B357" s="422"/>
      <c r="C357" s="422"/>
      <c r="D357" s="422"/>
      <c r="E357" s="422"/>
      <c r="F357" s="422"/>
      <c r="G357" s="422"/>
      <c r="H357" s="422"/>
      <c r="I357" s="422"/>
      <c r="J357" s="422"/>
      <c r="K357" s="422"/>
      <c r="L357" s="422"/>
      <c r="M357" s="422"/>
      <c r="N357" s="422"/>
      <c r="O357" s="422"/>
      <c r="P357" s="422"/>
      <c r="Q357" s="422"/>
      <c r="R357" s="422"/>
      <c r="S357" s="422"/>
      <c r="T357" s="422"/>
      <c r="U357" s="422"/>
      <c r="V357" s="422"/>
      <c r="W357" s="422"/>
      <c r="X357" s="422"/>
      <c r="Y357" s="422"/>
      <c r="Z357" s="422"/>
    </row>
    <row r="358" spans="1:26" ht="15" thickBot="1">
      <c r="A358" s="422"/>
      <c r="B358" s="422"/>
      <c r="C358" s="422"/>
      <c r="D358" s="422"/>
      <c r="E358" s="422"/>
      <c r="F358" s="422"/>
      <c r="G358" s="422"/>
      <c r="H358" s="422"/>
      <c r="I358" s="422"/>
      <c r="J358" s="422"/>
      <c r="K358" s="422"/>
      <c r="L358" s="422"/>
      <c r="M358" s="422"/>
      <c r="N358" s="422"/>
      <c r="O358" s="422"/>
      <c r="P358" s="422"/>
      <c r="Q358" s="422"/>
      <c r="R358" s="422"/>
      <c r="S358" s="422"/>
      <c r="T358" s="422"/>
      <c r="U358" s="422"/>
      <c r="V358" s="422"/>
      <c r="W358" s="422"/>
      <c r="X358" s="422"/>
      <c r="Y358" s="422"/>
      <c r="Z358" s="422"/>
    </row>
    <row r="359" spans="1:26" ht="15" thickBot="1">
      <c r="A359" s="422"/>
      <c r="B359" s="422"/>
      <c r="C359" s="422"/>
      <c r="D359" s="422"/>
      <c r="E359" s="422"/>
      <c r="F359" s="422"/>
      <c r="G359" s="422"/>
      <c r="H359" s="422"/>
      <c r="I359" s="422"/>
      <c r="J359" s="422"/>
      <c r="K359" s="422"/>
      <c r="L359" s="422"/>
      <c r="M359" s="422"/>
      <c r="N359" s="422"/>
      <c r="O359" s="422"/>
      <c r="P359" s="422"/>
      <c r="Q359" s="422"/>
      <c r="R359" s="422"/>
      <c r="S359" s="422"/>
      <c r="T359" s="422"/>
      <c r="U359" s="422"/>
      <c r="V359" s="422"/>
      <c r="W359" s="422"/>
      <c r="X359" s="422"/>
      <c r="Y359" s="422"/>
      <c r="Z359" s="422"/>
    </row>
    <row r="360" spans="1:26" ht="15" thickBot="1">
      <c r="A360" s="422"/>
      <c r="B360" s="422"/>
      <c r="C360" s="422"/>
      <c r="D360" s="422"/>
      <c r="E360" s="422"/>
      <c r="F360" s="422"/>
      <c r="G360" s="422"/>
      <c r="H360" s="422"/>
      <c r="I360" s="422"/>
      <c r="J360" s="422"/>
      <c r="K360" s="422"/>
      <c r="L360" s="422"/>
      <c r="M360" s="422"/>
      <c r="N360" s="422"/>
      <c r="O360" s="422"/>
      <c r="P360" s="422"/>
      <c r="Q360" s="422"/>
      <c r="R360" s="422"/>
      <c r="S360" s="422"/>
      <c r="T360" s="422"/>
      <c r="U360" s="422"/>
      <c r="V360" s="422"/>
      <c r="W360" s="422"/>
      <c r="X360" s="422"/>
      <c r="Y360" s="422"/>
      <c r="Z360" s="422"/>
    </row>
    <row r="361" spans="1:26" ht="15" thickBot="1">
      <c r="A361" s="422"/>
      <c r="B361" s="422"/>
      <c r="C361" s="422"/>
      <c r="D361" s="422"/>
      <c r="E361" s="422"/>
      <c r="F361" s="422"/>
      <c r="G361" s="422"/>
      <c r="H361" s="422"/>
      <c r="I361" s="422"/>
      <c r="J361" s="422"/>
      <c r="K361" s="422"/>
      <c r="L361" s="422"/>
      <c r="M361" s="422"/>
      <c r="N361" s="422"/>
      <c r="O361" s="422"/>
      <c r="P361" s="422"/>
      <c r="Q361" s="422"/>
      <c r="R361" s="422"/>
      <c r="S361" s="422"/>
      <c r="T361" s="422"/>
      <c r="U361" s="422"/>
      <c r="V361" s="422"/>
      <c r="W361" s="422"/>
      <c r="X361" s="422"/>
      <c r="Y361" s="422"/>
      <c r="Z361" s="422"/>
    </row>
    <row r="362" spans="1:26" ht="15" thickBot="1">
      <c r="A362" s="422"/>
      <c r="B362" s="422"/>
      <c r="C362" s="422"/>
      <c r="D362" s="422"/>
      <c r="E362" s="422"/>
      <c r="F362" s="422"/>
      <c r="G362" s="422"/>
      <c r="H362" s="422"/>
      <c r="I362" s="422"/>
      <c r="J362" s="422"/>
      <c r="K362" s="422"/>
      <c r="L362" s="422"/>
      <c r="M362" s="422"/>
      <c r="N362" s="422"/>
      <c r="O362" s="422"/>
      <c r="P362" s="422"/>
      <c r="Q362" s="422"/>
      <c r="R362" s="422"/>
      <c r="S362" s="422"/>
      <c r="T362" s="422"/>
      <c r="U362" s="422"/>
      <c r="V362" s="422"/>
      <c r="W362" s="422"/>
      <c r="X362" s="422"/>
      <c r="Y362" s="422"/>
      <c r="Z362" s="422"/>
    </row>
    <row r="363" spans="1:26" ht="15" thickBot="1">
      <c r="A363" s="422"/>
      <c r="B363" s="422"/>
      <c r="C363" s="422"/>
      <c r="D363" s="422"/>
      <c r="E363" s="422"/>
      <c r="F363" s="422"/>
      <c r="G363" s="422"/>
      <c r="H363" s="422"/>
      <c r="I363" s="422"/>
      <c r="J363" s="422"/>
      <c r="K363" s="422"/>
      <c r="L363" s="422"/>
      <c r="M363" s="422"/>
      <c r="N363" s="422"/>
      <c r="O363" s="422"/>
      <c r="P363" s="422"/>
      <c r="Q363" s="422"/>
      <c r="R363" s="422"/>
      <c r="S363" s="422"/>
      <c r="T363" s="422"/>
      <c r="U363" s="422"/>
      <c r="V363" s="422"/>
      <c r="W363" s="422"/>
      <c r="X363" s="422"/>
      <c r="Y363" s="422"/>
      <c r="Z363" s="422"/>
    </row>
    <row r="364" spans="1:26" ht="15" thickBot="1">
      <c r="A364" s="422"/>
      <c r="B364" s="422"/>
      <c r="C364" s="422"/>
      <c r="D364" s="422"/>
      <c r="E364" s="422"/>
      <c r="F364" s="422"/>
      <c r="G364" s="422"/>
      <c r="H364" s="422"/>
      <c r="I364" s="422"/>
      <c r="J364" s="422"/>
      <c r="K364" s="422"/>
      <c r="L364" s="422"/>
      <c r="M364" s="422"/>
      <c r="N364" s="422"/>
      <c r="O364" s="422"/>
      <c r="P364" s="422"/>
      <c r="Q364" s="422"/>
      <c r="R364" s="422"/>
      <c r="S364" s="422"/>
      <c r="T364" s="422"/>
      <c r="U364" s="422"/>
      <c r="V364" s="422"/>
      <c r="W364" s="422"/>
      <c r="X364" s="422"/>
      <c r="Y364" s="422"/>
      <c r="Z364" s="422"/>
    </row>
    <row r="365" spans="1:26" ht="15" thickBot="1">
      <c r="A365" s="422"/>
      <c r="B365" s="422"/>
      <c r="C365" s="422"/>
      <c r="D365" s="422"/>
      <c r="E365" s="422"/>
      <c r="F365" s="422"/>
      <c r="G365" s="422"/>
      <c r="H365" s="422"/>
      <c r="I365" s="422"/>
      <c r="J365" s="422"/>
      <c r="K365" s="422"/>
      <c r="L365" s="422"/>
      <c r="M365" s="422"/>
      <c r="N365" s="422"/>
      <c r="O365" s="422"/>
      <c r="P365" s="422"/>
      <c r="Q365" s="422"/>
      <c r="R365" s="422"/>
      <c r="S365" s="422"/>
      <c r="T365" s="422"/>
      <c r="U365" s="422"/>
      <c r="V365" s="422"/>
      <c r="W365" s="422"/>
      <c r="X365" s="422"/>
      <c r="Y365" s="422"/>
      <c r="Z365" s="422"/>
    </row>
    <row r="366" spans="1:26" ht="15" thickBot="1">
      <c r="A366" s="422"/>
      <c r="B366" s="422"/>
      <c r="C366" s="422"/>
      <c r="D366" s="422"/>
      <c r="E366" s="422"/>
      <c r="F366" s="422"/>
      <c r="G366" s="422"/>
      <c r="H366" s="422"/>
      <c r="I366" s="422"/>
      <c r="J366" s="422"/>
      <c r="K366" s="422"/>
      <c r="L366" s="422"/>
      <c r="M366" s="422"/>
      <c r="N366" s="422"/>
      <c r="O366" s="422"/>
      <c r="P366" s="422"/>
      <c r="Q366" s="422"/>
      <c r="R366" s="422"/>
      <c r="S366" s="422"/>
      <c r="T366" s="422"/>
      <c r="U366" s="422"/>
      <c r="V366" s="422"/>
      <c r="W366" s="422"/>
      <c r="X366" s="422"/>
      <c r="Y366" s="422"/>
      <c r="Z366" s="422"/>
    </row>
    <row r="367" spans="1:26" ht="15" thickBot="1">
      <c r="A367" s="422"/>
      <c r="B367" s="422"/>
      <c r="C367" s="422"/>
      <c r="D367" s="422"/>
      <c r="E367" s="422"/>
      <c r="F367" s="422"/>
      <c r="G367" s="422"/>
      <c r="H367" s="422"/>
      <c r="I367" s="422"/>
      <c r="J367" s="422"/>
      <c r="K367" s="422"/>
      <c r="L367" s="422"/>
      <c r="M367" s="422"/>
      <c r="N367" s="422"/>
      <c r="O367" s="422"/>
      <c r="P367" s="422"/>
      <c r="Q367" s="422"/>
      <c r="R367" s="422"/>
      <c r="S367" s="422"/>
      <c r="T367" s="422"/>
      <c r="U367" s="422"/>
      <c r="V367" s="422"/>
      <c r="W367" s="422"/>
      <c r="X367" s="422"/>
      <c r="Y367" s="422"/>
      <c r="Z367" s="422"/>
    </row>
    <row r="368" spans="1:26" ht="15" thickBot="1">
      <c r="A368" s="422"/>
      <c r="B368" s="422"/>
      <c r="C368" s="422"/>
      <c r="D368" s="422"/>
      <c r="E368" s="422"/>
      <c r="F368" s="422"/>
      <c r="G368" s="422"/>
      <c r="H368" s="422"/>
      <c r="I368" s="422"/>
      <c r="J368" s="422"/>
      <c r="K368" s="422"/>
      <c r="L368" s="422"/>
      <c r="M368" s="422"/>
      <c r="N368" s="422"/>
      <c r="O368" s="422"/>
      <c r="P368" s="422"/>
      <c r="Q368" s="422"/>
      <c r="R368" s="422"/>
      <c r="S368" s="422"/>
      <c r="T368" s="422"/>
      <c r="U368" s="422"/>
      <c r="V368" s="422"/>
      <c r="W368" s="422"/>
      <c r="X368" s="422"/>
      <c r="Y368" s="422"/>
      <c r="Z368" s="422"/>
    </row>
    <row r="369" spans="1:26" ht="15" thickBot="1">
      <c r="A369" s="422"/>
      <c r="B369" s="422"/>
      <c r="C369" s="422"/>
      <c r="D369" s="422"/>
      <c r="E369" s="422"/>
      <c r="F369" s="422"/>
      <c r="G369" s="422"/>
      <c r="H369" s="422"/>
      <c r="I369" s="422"/>
      <c r="J369" s="422"/>
      <c r="K369" s="422"/>
      <c r="L369" s="422"/>
      <c r="M369" s="422"/>
      <c r="N369" s="422"/>
      <c r="O369" s="422"/>
      <c r="P369" s="422"/>
      <c r="Q369" s="422"/>
      <c r="R369" s="422"/>
      <c r="S369" s="422"/>
      <c r="T369" s="422"/>
      <c r="U369" s="422"/>
      <c r="V369" s="422"/>
      <c r="W369" s="422"/>
      <c r="X369" s="422"/>
      <c r="Y369" s="422"/>
      <c r="Z369" s="422"/>
    </row>
    <row r="370" spans="1:26" ht="15" thickBot="1">
      <c r="A370" s="422"/>
      <c r="B370" s="422"/>
      <c r="C370" s="422"/>
      <c r="D370" s="422"/>
      <c r="E370" s="422"/>
      <c r="F370" s="422"/>
      <c r="G370" s="422"/>
      <c r="H370" s="422"/>
      <c r="I370" s="422"/>
      <c r="J370" s="422"/>
      <c r="K370" s="422"/>
      <c r="L370" s="422"/>
      <c r="M370" s="422"/>
      <c r="N370" s="422"/>
      <c r="O370" s="422"/>
      <c r="P370" s="422"/>
      <c r="Q370" s="422"/>
      <c r="R370" s="422"/>
      <c r="S370" s="422"/>
      <c r="T370" s="422"/>
      <c r="U370" s="422"/>
      <c r="V370" s="422"/>
      <c r="W370" s="422"/>
      <c r="X370" s="422"/>
      <c r="Y370" s="422"/>
      <c r="Z370" s="422"/>
    </row>
    <row r="371" spans="1:26" ht="15" thickBot="1">
      <c r="A371" s="422"/>
      <c r="B371" s="422"/>
      <c r="C371" s="422"/>
      <c r="D371" s="422"/>
      <c r="E371" s="422"/>
      <c r="F371" s="422"/>
      <c r="G371" s="422"/>
      <c r="H371" s="422"/>
      <c r="I371" s="422"/>
      <c r="J371" s="422"/>
      <c r="K371" s="422"/>
      <c r="L371" s="422"/>
      <c r="M371" s="422"/>
      <c r="N371" s="422"/>
      <c r="O371" s="422"/>
      <c r="P371" s="422"/>
      <c r="Q371" s="422"/>
      <c r="R371" s="422"/>
      <c r="S371" s="422"/>
      <c r="T371" s="422"/>
      <c r="U371" s="422"/>
      <c r="V371" s="422"/>
      <c r="W371" s="422"/>
      <c r="X371" s="422"/>
      <c r="Y371" s="422"/>
      <c r="Z371" s="422"/>
    </row>
    <row r="372" spans="1:26" ht="15" thickBot="1">
      <c r="A372" s="422"/>
      <c r="B372" s="422"/>
      <c r="C372" s="422"/>
      <c r="D372" s="422"/>
      <c r="E372" s="422"/>
      <c r="F372" s="422"/>
      <c r="G372" s="422"/>
      <c r="H372" s="422"/>
      <c r="I372" s="422"/>
      <c r="J372" s="422"/>
      <c r="K372" s="422"/>
      <c r="L372" s="422"/>
      <c r="M372" s="422"/>
      <c r="N372" s="422"/>
      <c r="O372" s="422"/>
      <c r="P372" s="422"/>
      <c r="Q372" s="422"/>
      <c r="R372" s="422"/>
      <c r="S372" s="422"/>
      <c r="T372" s="422"/>
      <c r="U372" s="422"/>
      <c r="V372" s="422"/>
      <c r="W372" s="422"/>
      <c r="X372" s="422"/>
      <c r="Y372" s="422"/>
      <c r="Z372" s="422"/>
    </row>
    <row r="373" spans="1:26" ht="15" thickBot="1">
      <c r="A373" s="422"/>
      <c r="B373" s="422"/>
      <c r="C373" s="422"/>
      <c r="D373" s="422"/>
      <c r="E373" s="422"/>
      <c r="F373" s="422"/>
      <c r="G373" s="422"/>
      <c r="H373" s="422"/>
      <c r="I373" s="422"/>
      <c r="J373" s="422"/>
      <c r="K373" s="422"/>
      <c r="L373" s="422"/>
      <c r="M373" s="422"/>
      <c r="N373" s="422"/>
      <c r="O373" s="422"/>
      <c r="P373" s="422"/>
      <c r="Q373" s="422"/>
      <c r="R373" s="422"/>
      <c r="S373" s="422"/>
      <c r="T373" s="422"/>
      <c r="U373" s="422"/>
      <c r="V373" s="422"/>
      <c r="W373" s="422"/>
      <c r="X373" s="422"/>
      <c r="Y373" s="422"/>
      <c r="Z373" s="422"/>
    </row>
    <row r="374" spans="1:26" ht="15" thickBot="1">
      <c r="A374" s="422"/>
      <c r="B374" s="422"/>
      <c r="C374" s="422"/>
      <c r="D374" s="422"/>
      <c r="E374" s="422"/>
      <c r="F374" s="422"/>
      <c r="G374" s="422"/>
      <c r="H374" s="422"/>
      <c r="I374" s="422"/>
      <c r="J374" s="422"/>
      <c r="K374" s="422"/>
      <c r="L374" s="422"/>
      <c r="M374" s="422"/>
      <c r="N374" s="422"/>
      <c r="O374" s="422"/>
      <c r="P374" s="422"/>
      <c r="Q374" s="422"/>
      <c r="R374" s="422"/>
      <c r="S374" s="422"/>
      <c r="T374" s="422"/>
      <c r="U374" s="422"/>
      <c r="V374" s="422"/>
      <c r="W374" s="422"/>
      <c r="X374" s="422"/>
      <c r="Y374" s="422"/>
      <c r="Z374" s="422"/>
    </row>
    <row r="375" spans="1:26" ht="15" thickBot="1">
      <c r="A375" s="422"/>
      <c r="B375" s="422"/>
      <c r="C375" s="422"/>
      <c r="D375" s="422"/>
      <c r="E375" s="422"/>
      <c r="F375" s="422"/>
      <c r="G375" s="422"/>
      <c r="H375" s="422"/>
      <c r="I375" s="422"/>
      <c r="J375" s="422"/>
      <c r="K375" s="422"/>
      <c r="L375" s="422"/>
      <c r="M375" s="422"/>
      <c r="N375" s="422"/>
      <c r="O375" s="422"/>
      <c r="P375" s="422"/>
      <c r="Q375" s="422"/>
      <c r="R375" s="422"/>
      <c r="S375" s="422"/>
      <c r="T375" s="422"/>
      <c r="U375" s="422"/>
      <c r="V375" s="422"/>
      <c r="W375" s="422"/>
      <c r="X375" s="422"/>
      <c r="Y375" s="422"/>
      <c r="Z375" s="422"/>
    </row>
    <row r="376" spans="1:26" ht="15" thickBot="1">
      <c r="A376" s="422"/>
      <c r="B376" s="422"/>
      <c r="C376" s="422"/>
      <c r="D376" s="422"/>
      <c r="E376" s="422"/>
      <c r="F376" s="422"/>
      <c r="G376" s="422"/>
      <c r="H376" s="422"/>
      <c r="I376" s="422"/>
      <c r="J376" s="422"/>
      <c r="K376" s="422"/>
      <c r="L376" s="422"/>
      <c r="M376" s="422"/>
      <c r="N376" s="422"/>
      <c r="O376" s="422"/>
      <c r="P376" s="422"/>
      <c r="Q376" s="422"/>
      <c r="R376" s="422"/>
      <c r="S376" s="422"/>
      <c r="T376" s="422"/>
      <c r="U376" s="422"/>
      <c r="V376" s="422"/>
      <c r="W376" s="422"/>
      <c r="X376" s="422"/>
      <c r="Y376" s="422"/>
      <c r="Z376" s="422"/>
    </row>
    <row r="377" spans="1:26" ht="15" thickBot="1">
      <c r="A377" s="422"/>
      <c r="B377" s="422"/>
      <c r="C377" s="422"/>
      <c r="D377" s="422"/>
      <c r="E377" s="422"/>
      <c r="F377" s="422"/>
      <c r="G377" s="422"/>
      <c r="H377" s="422"/>
      <c r="I377" s="422"/>
      <c r="J377" s="422"/>
      <c r="K377" s="422"/>
      <c r="L377" s="422"/>
      <c r="M377" s="422"/>
      <c r="N377" s="422"/>
      <c r="O377" s="422"/>
      <c r="P377" s="422"/>
      <c r="Q377" s="422"/>
      <c r="R377" s="422"/>
      <c r="S377" s="422"/>
      <c r="T377" s="422"/>
      <c r="U377" s="422"/>
      <c r="V377" s="422"/>
      <c r="W377" s="422"/>
      <c r="X377" s="422"/>
      <c r="Y377" s="422"/>
      <c r="Z377" s="422"/>
    </row>
    <row r="378" spans="1:26" ht="15" thickBot="1">
      <c r="A378" s="422"/>
      <c r="B378" s="422"/>
      <c r="C378" s="422"/>
      <c r="D378" s="422"/>
      <c r="E378" s="422"/>
      <c r="F378" s="422"/>
      <c r="G378" s="422"/>
      <c r="H378" s="422"/>
      <c r="I378" s="422"/>
      <c r="J378" s="422"/>
      <c r="K378" s="422"/>
      <c r="L378" s="422"/>
      <c r="M378" s="422"/>
      <c r="N378" s="422"/>
      <c r="O378" s="422"/>
      <c r="P378" s="422"/>
      <c r="Q378" s="422"/>
      <c r="R378" s="422"/>
      <c r="S378" s="422"/>
      <c r="T378" s="422"/>
      <c r="U378" s="422"/>
      <c r="V378" s="422"/>
      <c r="W378" s="422"/>
      <c r="X378" s="422"/>
      <c r="Y378" s="422"/>
      <c r="Z378" s="422"/>
    </row>
    <row r="379" spans="1:26" ht="15" thickBot="1">
      <c r="A379" s="422"/>
      <c r="B379" s="422"/>
      <c r="C379" s="422"/>
      <c r="D379" s="422"/>
      <c r="E379" s="422"/>
      <c r="F379" s="422"/>
      <c r="G379" s="422"/>
      <c r="H379" s="422"/>
      <c r="I379" s="422"/>
      <c r="J379" s="422"/>
      <c r="K379" s="422"/>
      <c r="L379" s="422"/>
      <c r="M379" s="422"/>
      <c r="N379" s="422"/>
      <c r="O379" s="422"/>
      <c r="P379" s="422"/>
      <c r="Q379" s="422"/>
      <c r="R379" s="422"/>
      <c r="S379" s="422"/>
      <c r="T379" s="422"/>
      <c r="U379" s="422"/>
      <c r="V379" s="422"/>
      <c r="W379" s="422"/>
      <c r="X379" s="422"/>
      <c r="Y379" s="422"/>
      <c r="Z379" s="422"/>
    </row>
    <row r="380" spans="1:26" ht="15" thickBot="1">
      <c r="A380" s="422"/>
      <c r="B380" s="422"/>
      <c r="C380" s="422"/>
      <c r="D380" s="422"/>
      <c r="E380" s="422"/>
      <c r="F380" s="422"/>
      <c r="G380" s="422"/>
      <c r="H380" s="422"/>
      <c r="I380" s="422"/>
      <c r="J380" s="422"/>
      <c r="K380" s="422"/>
      <c r="L380" s="422"/>
      <c r="M380" s="422"/>
      <c r="N380" s="422"/>
      <c r="O380" s="422"/>
      <c r="P380" s="422"/>
      <c r="Q380" s="422"/>
      <c r="R380" s="422"/>
      <c r="S380" s="422"/>
      <c r="T380" s="422"/>
      <c r="U380" s="422"/>
      <c r="V380" s="422"/>
      <c r="W380" s="422"/>
      <c r="X380" s="422"/>
      <c r="Y380" s="422"/>
      <c r="Z380" s="422"/>
    </row>
    <row r="381" spans="1:26" ht="15" thickBot="1">
      <c r="A381" s="422"/>
      <c r="B381" s="422"/>
      <c r="C381" s="422"/>
      <c r="D381" s="422"/>
      <c r="E381" s="422"/>
      <c r="F381" s="422"/>
      <c r="G381" s="422"/>
      <c r="H381" s="422"/>
      <c r="I381" s="422"/>
      <c r="J381" s="422"/>
      <c r="K381" s="422"/>
      <c r="L381" s="422"/>
      <c r="M381" s="422"/>
      <c r="N381" s="422"/>
      <c r="O381" s="422"/>
      <c r="P381" s="422"/>
      <c r="Q381" s="422"/>
      <c r="R381" s="422"/>
      <c r="S381" s="422"/>
      <c r="T381" s="422"/>
      <c r="U381" s="422"/>
      <c r="V381" s="422"/>
      <c r="W381" s="422"/>
      <c r="X381" s="422"/>
      <c r="Y381" s="422"/>
      <c r="Z381" s="422"/>
    </row>
    <row r="382" spans="1:26" ht="15" thickBot="1">
      <c r="A382" s="422"/>
      <c r="B382" s="422"/>
      <c r="C382" s="422"/>
      <c r="D382" s="422"/>
      <c r="E382" s="422"/>
      <c r="F382" s="422"/>
      <c r="G382" s="422"/>
      <c r="H382" s="422"/>
      <c r="I382" s="422"/>
      <c r="J382" s="422"/>
      <c r="K382" s="422"/>
      <c r="L382" s="422"/>
      <c r="M382" s="422"/>
      <c r="N382" s="422"/>
      <c r="O382" s="422"/>
      <c r="P382" s="422"/>
      <c r="Q382" s="422"/>
      <c r="R382" s="422"/>
      <c r="S382" s="422"/>
      <c r="T382" s="422"/>
      <c r="U382" s="422"/>
      <c r="V382" s="422"/>
      <c r="W382" s="422"/>
      <c r="X382" s="422"/>
      <c r="Y382" s="422"/>
      <c r="Z382" s="422"/>
    </row>
    <row r="383" spans="1:26" ht="15" thickBot="1">
      <c r="A383" s="422"/>
      <c r="B383" s="422"/>
      <c r="C383" s="422"/>
      <c r="D383" s="422"/>
      <c r="E383" s="422"/>
      <c r="F383" s="422"/>
      <c r="G383" s="422"/>
      <c r="H383" s="422"/>
      <c r="I383" s="422"/>
      <c r="J383" s="422"/>
      <c r="K383" s="422"/>
      <c r="L383" s="422"/>
      <c r="M383" s="422"/>
      <c r="N383" s="422"/>
      <c r="O383" s="422"/>
      <c r="P383" s="422"/>
      <c r="Q383" s="422"/>
      <c r="R383" s="422"/>
      <c r="S383" s="422"/>
      <c r="T383" s="422"/>
      <c r="U383" s="422"/>
      <c r="V383" s="422"/>
      <c r="W383" s="422"/>
      <c r="X383" s="422"/>
      <c r="Y383" s="422"/>
      <c r="Z383" s="422"/>
    </row>
    <row r="384" spans="1:26" ht="15" thickBot="1">
      <c r="A384" s="422"/>
      <c r="B384" s="422"/>
      <c r="C384" s="422"/>
      <c r="D384" s="422"/>
      <c r="E384" s="422"/>
      <c r="F384" s="422"/>
      <c r="G384" s="422"/>
      <c r="H384" s="422"/>
      <c r="I384" s="422"/>
      <c r="J384" s="422"/>
      <c r="K384" s="422"/>
      <c r="L384" s="422"/>
      <c r="M384" s="422"/>
      <c r="N384" s="422"/>
      <c r="O384" s="422"/>
      <c r="P384" s="422"/>
      <c r="Q384" s="422"/>
      <c r="R384" s="422"/>
      <c r="S384" s="422"/>
      <c r="T384" s="422"/>
      <c r="U384" s="422"/>
      <c r="V384" s="422"/>
      <c r="W384" s="422"/>
      <c r="X384" s="422"/>
      <c r="Y384" s="422"/>
      <c r="Z384" s="422"/>
    </row>
    <row r="385" spans="1:26" ht="15" thickBot="1">
      <c r="A385" s="422"/>
      <c r="B385" s="422"/>
      <c r="C385" s="422"/>
      <c r="D385" s="422"/>
      <c r="E385" s="422"/>
      <c r="F385" s="422"/>
      <c r="G385" s="422"/>
      <c r="H385" s="422"/>
      <c r="I385" s="422"/>
      <c r="J385" s="422"/>
      <c r="K385" s="422"/>
      <c r="L385" s="422"/>
      <c r="M385" s="422"/>
      <c r="N385" s="422"/>
      <c r="O385" s="422"/>
      <c r="P385" s="422"/>
      <c r="Q385" s="422"/>
      <c r="R385" s="422"/>
      <c r="S385" s="422"/>
      <c r="T385" s="422"/>
      <c r="U385" s="422"/>
      <c r="V385" s="422"/>
      <c r="W385" s="422"/>
      <c r="X385" s="422"/>
      <c r="Y385" s="422"/>
      <c r="Z385" s="422"/>
    </row>
    <row r="386" spans="1:26" ht="15" thickBot="1">
      <c r="A386" s="422"/>
      <c r="B386" s="422"/>
      <c r="C386" s="422"/>
      <c r="D386" s="422"/>
      <c r="E386" s="422"/>
      <c r="F386" s="422"/>
      <c r="G386" s="422"/>
      <c r="H386" s="422"/>
      <c r="I386" s="422"/>
      <c r="J386" s="422"/>
      <c r="K386" s="422"/>
      <c r="L386" s="422"/>
      <c r="M386" s="422"/>
      <c r="N386" s="422"/>
      <c r="O386" s="422"/>
      <c r="P386" s="422"/>
      <c r="Q386" s="422"/>
      <c r="R386" s="422"/>
      <c r="S386" s="422"/>
      <c r="T386" s="422"/>
      <c r="U386" s="422"/>
      <c r="V386" s="422"/>
      <c r="W386" s="422"/>
      <c r="X386" s="422"/>
      <c r="Y386" s="422"/>
      <c r="Z386" s="422"/>
    </row>
    <row r="387" spans="1:26" ht="15" thickBot="1">
      <c r="A387" s="422"/>
      <c r="B387" s="422"/>
      <c r="C387" s="422"/>
      <c r="D387" s="422"/>
      <c r="E387" s="422"/>
      <c r="F387" s="422"/>
      <c r="G387" s="422"/>
      <c r="H387" s="422"/>
      <c r="I387" s="422"/>
      <c r="J387" s="422"/>
      <c r="K387" s="422"/>
      <c r="L387" s="422"/>
      <c r="M387" s="422"/>
      <c r="N387" s="422"/>
      <c r="O387" s="422"/>
      <c r="P387" s="422"/>
      <c r="Q387" s="422"/>
      <c r="R387" s="422"/>
      <c r="S387" s="422"/>
      <c r="T387" s="422"/>
      <c r="U387" s="422"/>
      <c r="V387" s="422"/>
      <c r="W387" s="422"/>
      <c r="X387" s="422"/>
      <c r="Y387" s="422"/>
      <c r="Z387" s="422"/>
    </row>
    <row r="388" spans="1:26" ht="15" thickBot="1">
      <c r="A388" s="422"/>
      <c r="B388" s="422"/>
      <c r="C388" s="422"/>
      <c r="D388" s="422"/>
      <c r="E388" s="422"/>
      <c r="F388" s="422"/>
      <c r="G388" s="422"/>
      <c r="H388" s="422"/>
      <c r="I388" s="422"/>
      <c r="J388" s="422"/>
      <c r="K388" s="422"/>
      <c r="L388" s="422"/>
      <c r="M388" s="422"/>
      <c r="N388" s="422"/>
      <c r="O388" s="422"/>
      <c r="P388" s="422"/>
      <c r="Q388" s="422"/>
      <c r="R388" s="422"/>
      <c r="S388" s="422"/>
      <c r="T388" s="422"/>
      <c r="U388" s="422"/>
      <c r="V388" s="422"/>
      <c r="W388" s="422"/>
      <c r="X388" s="422"/>
      <c r="Y388" s="422"/>
      <c r="Z388" s="422"/>
    </row>
    <row r="389" spans="1:26" ht="15" thickBot="1">
      <c r="A389" s="422"/>
      <c r="B389" s="422"/>
      <c r="C389" s="422"/>
      <c r="D389" s="422"/>
      <c r="E389" s="422"/>
      <c r="F389" s="422"/>
      <c r="G389" s="422"/>
      <c r="H389" s="422"/>
      <c r="I389" s="422"/>
      <c r="J389" s="422"/>
      <c r="K389" s="422"/>
      <c r="L389" s="422"/>
      <c r="M389" s="422"/>
      <c r="N389" s="422"/>
      <c r="O389" s="422"/>
      <c r="P389" s="422"/>
      <c r="Q389" s="422"/>
      <c r="R389" s="422"/>
      <c r="S389" s="422"/>
      <c r="T389" s="422"/>
      <c r="U389" s="422"/>
      <c r="V389" s="422"/>
      <c r="W389" s="422"/>
      <c r="X389" s="422"/>
      <c r="Y389" s="422"/>
      <c r="Z389" s="422"/>
    </row>
    <row r="390" spans="1:26" ht="15" thickBot="1">
      <c r="A390" s="422"/>
      <c r="B390" s="422"/>
      <c r="C390" s="422"/>
      <c r="D390" s="422"/>
      <c r="E390" s="422"/>
      <c r="F390" s="422"/>
      <c r="G390" s="422"/>
      <c r="H390" s="422"/>
      <c r="I390" s="422"/>
      <c r="J390" s="422"/>
      <c r="K390" s="422"/>
      <c r="L390" s="422"/>
      <c r="M390" s="422"/>
      <c r="N390" s="422"/>
      <c r="O390" s="422"/>
      <c r="P390" s="422"/>
      <c r="Q390" s="422"/>
      <c r="R390" s="422"/>
      <c r="S390" s="422"/>
      <c r="T390" s="422"/>
      <c r="U390" s="422"/>
      <c r="V390" s="422"/>
      <c r="W390" s="422"/>
      <c r="X390" s="422"/>
      <c r="Y390" s="422"/>
      <c r="Z390" s="422"/>
    </row>
    <row r="391" spans="1:26" ht="15" thickBot="1">
      <c r="A391" s="422"/>
      <c r="B391" s="422"/>
      <c r="C391" s="422"/>
      <c r="D391" s="422"/>
      <c r="E391" s="422"/>
      <c r="F391" s="422"/>
      <c r="G391" s="422"/>
      <c r="H391" s="422"/>
      <c r="I391" s="422"/>
      <c r="J391" s="422"/>
      <c r="K391" s="422"/>
      <c r="L391" s="422"/>
      <c r="M391" s="422"/>
      <c r="N391" s="422"/>
      <c r="O391" s="422"/>
      <c r="P391" s="422"/>
      <c r="Q391" s="422"/>
      <c r="R391" s="422"/>
      <c r="S391" s="422"/>
      <c r="T391" s="422"/>
      <c r="U391" s="422"/>
      <c r="V391" s="422"/>
      <c r="W391" s="422"/>
      <c r="X391" s="422"/>
      <c r="Y391" s="422"/>
      <c r="Z391" s="422"/>
    </row>
    <row r="392" spans="1:26" ht="15" thickBot="1">
      <c r="A392" s="422"/>
      <c r="B392" s="422"/>
      <c r="C392" s="422"/>
      <c r="D392" s="422"/>
      <c r="E392" s="422"/>
      <c r="F392" s="422"/>
      <c r="G392" s="422"/>
      <c r="H392" s="422"/>
      <c r="I392" s="422"/>
      <c r="J392" s="422"/>
      <c r="K392" s="422"/>
      <c r="L392" s="422"/>
      <c r="M392" s="422"/>
      <c r="N392" s="422"/>
      <c r="O392" s="422"/>
      <c r="P392" s="422"/>
      <c r="Q392" s="422"/>
      <c r="R392" s="422"/>
      <c r="S392" s="422"/>
      <c r="T392" s="422"/>
      <c r="U392" s="422"/>
      <c r="V392" s="422"/>
      <c r="W392" s="422"/>
      <c r="X392" s="422"/>
      <c r="Y392" s="422"/>
      <c r="Z392" s="422"/>
    </row>
    <row r="393" spans="1:26" ht="15" thickBot="1">
      <c r="A393" s="422"/>
      <c r="B393" s="422"/>
      <c r="C393" s="422"/>
      <c r="D393" s="422"/>
      <c r="E393" s="422"/>
      <c r="F393" s="422"/>
      <c r="G393" s="422"/>
      <c r="H393" s="422"/>
      <c r="I393" s="422"/>
      <c r="J393" s="422"/>
      <c r="K393" s="422"/>
      <c r="L393" s="422"/>
      <c r="M393" s="422"/>
      <c r="N393" s="422"/>
      <c r="O393" s="422"/>
      <c r="P393" s="422"/>
      <c r="Q393" s="422"/>
      <c r="R393" s="422"/>
      <c r="S393" s="422"/>
      <c r="T393" s="422"/>
      <c r="U393" s="422"/>
      <c r="V393" s="422"/>
      <c r="W393" s="422"/>
      <c r="X393" s="422"/>
      <c r="Y393" s="422"/>
      <c r="Z393" s="422"/>
    </row>
    <row r="394" spans="1:26" ht="15" thickBot="1">
      <c r="A394" s="422"/>
      <c r="B394" s="422"/>
      <c r="C394" s="422"/>
      <c r="D394" s="422"/>
      <c r="E394" s="422"/>
      <c r="F394" s="422"/>
      <c r="G394" s="422"/>
      <c r="H394" s="422"/>
      <c r="I394" s="422"/>
      <c r="J394" s="422"/>
      <c r="K394" s="422"/>
      <c r="L394" s="422"/>
      <c r="M394" s="422"/>
      <c r="N394" s="422"/>
      <c r="O394" s="422"/>
      <c r="P394" s="422"/>
      <c r="Q394" s="422"/>
      <c r="R394" s="422"/>
      <c r="S394" s="422"/>
      <c r="T394" s="422"/>
      <c r="U394" s="422"/>
      <c r="V394" s="422"/>
      <c r="W394" s="422"/>
      <c r="X394" s="422"/>
      <c r="Y394" s="422"/>
      <c r="Z394" s="422"/>
    </row>
    <row r="395" spans="1:26" ht="15" thickBot="1">
      <c r="A395" s="422"/>
      <c r="B395" s="422"/>
      <c r="C395" s="422"/>
      <c r="D395" s="422"/>
      <c r="E395" s="422"/>
      <c r="F395" s="422"/>
      <c r="G395" s="422"/>
      <c r="H395" s="422"/>
      <c r="I395" s="422"/>
      <c r="J395" s="422"/>
      <c r="K395" s="422"/>
      <c r="L395" s="422"/>
      <c r="M395" s="422"/>
      <c r="N395" s="422"/>
      <c r="O395" s="422"/>
      <c r="P395" s="422"/>
      <c r="Q395" s="422"/>
      <c r="R395" s="422"/>
      <c r="S395" s="422"/>
      <c r="T395" s="422"/>
      <c r="U395" s="422"/>
      <c r="V395" s="422"/>
      <c r="W395" s="422"/>
      <c r="X395" s="422"/>
      <c r="Y395" s="422"/>
      <c r="Z395" s="422"/>
    </row>
    <row r="396" spans="1:26" ht="15" thickBot="1">
      <c r="A396" s="422"/>
      <c r="B396" s="422"/>
      <c r="C396" s="422"/>
      <c r="D396" s="422"/>
      <c r="E396" s="422"/>
      <c r="F396" s="422"/>
      <c r="G396" s="422"/>
      <c r="H396" s="422"/>
      <c r="I396" s="422"/>
      <c r="J396" s="422"/>
      <c r="K396" s="422"/>
      <c r="L396" s="422"/>
      <c r="M396" s="422"/>
      <c r="N396" s="422"/>
      <c r="O396" s="422"/>
      <c r="P396" s="422"/>
      <c r="Q396" s="422"/>
      <c r="R396" s="422"/>
      <c r="S396" s="422"/>
      <c r="T396" s="422"/>
      <c r="U396" s="422"/>
      <c r="V396" s="422"/>
      <c r="W396" s="422"/>
      <c r="X396" s="422"/>
      <c r="Y396" s="422"/>
      <c r="Z396" s="422"/>
    </row>
    <row r="397" spans="1:26" ht="15" thickBot="1">
      <c r="A397" s="422"/>
      <c r="B397" s="422"/>
      <c r="C397" s="422"/>
      <c r="D397" s="422"/>
      <c r="E397" s="422"/>
      <c r="F397" s="422"/>
      <c r="G397" s="422"/>
      <c r="H397" s="422"/>
      <c r="I397" s="422"/>
      <c r="J397" s="422"/>
      <c r="K397" s="422"/>
      <c r="L397" s="422"/>
      <c r="M397" s="422"/>
      <c r="N397" s="422"/>
      <c r="O397" s="422"/>
      <c r="P397" s="422"/>
      <c r="Q397" s="422"/>
      <c r="R397" s="422"/>
      <c r="S397" s="422"/>
      <c r="T397" s="422"/>
      <c r="U397" s="422"/>
      <c r="V397" s="422"/>
      <c r="W397" s="422"/>
      <c r="X397" s="422"/>
      <c r="Y397" s="422"/>
      <c r="Z397" s="422"/>
    </row>
    <row r="398" spans="1:26" ht="15" thickBot="1">
      <c r="A398" s="422"/>
      <c r="B398" s="422"/>
      <c r="C398" s="422"/>
      <c r="D398" s="422"/>
      <c r="E398" s="422"/>
      <c r="F398" s="422"/>
      <c r="G398" s="422"/>
      <c r="H398" s="422"/>
      <c r="I398" s="422"/>
      <c r="J398" s="422"/>
      <c r="K398" s="422"/>
      <c r="L398" s="422"/>
      <c r="M398" s="422"/>
      <c r="N398" s="422"/>
      <c r="O398" s="422"/>
      <c r="P398" s="422"/>
      <c r="Q398" s="422"/>
      <c r="R398" s="422"/>
      <c r="S398" s="422"/>
      <c r="T398" s="422"/>
      <c r="U398" s="422"/>
      <c r="V398" s="422"/>
      <c r="W398" s="422"/>
      <c r="X398" s="422"/>
      <c r="Y398" s="422"/>
      <c r="Z398" s="422"/>
    </row>
    <row r="399" spans="1:26" ht="15" thickBot="1">
      <c r="A399" s="422"/>
      <c r="B399" s="422"/>
      <c r="C399" s="422"/>
      <c r="D399" s="422"/>
      <c r="E399" s="422"/>
      <c r="F399" s="422"/>
      <c r="G399" s="422"/>
      <c r="H399" s="422"/>
      <c r="I399" s="422"/>
      <c r="J399" s="422"/>
      <c r="K399" s="422"/>
      <c r="L399" s="422"/>
      <c r="M399" s="422"/>
      <c r="N399" s="422"/>
      <c r="O399" s="422"/>
      <c r="P399" s="422"/>
      <c r="Q399" s="422"/>
      <c r="R399" s="422"/>
      <c r="S399" s="422"/>
      <c r="T399" s="422"/>
      <c r="U399" s="422"/>
      <c r="V399" s="422"/>
      <c r="W399" s="422"/>
      <c r="X399" s="422"/>
      <c r="Y399" s="422"/>
      <c r="Z399" s="422"/>
    </row>
    <row r="400" spans="1:26" ht="15" thickBot="1">
      <c r="A400" s="422"/>
      <c r="B400" s="422"/>
      <c r="C400" s="422"/>
      <c r="D400" s="422"/>
      <c r="E400" s="422"/>
      <c r="F400" s="422"/>
      <c r="G400" s="422"/>
      <c r="H400" s="422"/>
      <c r="I400" s="422"/>
      <c r="J400" s="422"/>
      <c r="K400" s="422"/>
      <c r="L400" s="422"/>
      <c r="M400" s="422"/>
      <c r="N400" s="422"/>
      <c r="O400" s="422"/>
      <c r="P400" s="422"/>
      <c r="Q400" s="422"/>
      <c r="R400" s="422"/>
      <c r="S400" s="422"/>
      <c r="T400" s="422"/>
      <c r="U400" s="422"/>
      <c r="V400" s="422"/>
      <c r="W400" s="422"/>
      <c r="X400" s="422"/>
      <c r="Y400" s="422"/>
      <c r="Z400" s="422"/>
    </row>
    <row r="401" spans="1:26" ht="15" thickBot="1">
      <c r="A401" s="422"/>
      <c r="B401" s="422"/>
      <c r="C401" s="422"/>
      <c r="D401" s="422"/>
      <c r="E401" s="422"/>
      <c r="F401" s="422"/>
      <c r="G401" s="422"/>
      <c r="H401" s="422"/>
      <c r="I401" s="422"/>
      <c r="J401" s="422"/>
      <c r="K401" s="422"/>
      <c r="L401" s="422"/>
      <c r="M401" s="422"/>
      <c r="N401" s="422"/>
      <c r="O401" s="422"/>
      <c r="P401" s="422"/>
      <c r="Q401" s="422"/>
      <c r="R401" s="422"/>
      <c r="S401" s="422"/>
      <c r="T401" s="422"/>
      <c r="U401" s="422"/>
      <c r="V401" s="422"/>
      <c r="W401" s="422"/>
      <c r="X401" s="422"/>
      <c r="Y401" s="422"/>
      <c r="Z401" s="422"/>
    </row>
    <row r="402" spans="1:26" ht="15" thickBot="1">
      <c r="A402" s="422"/>
      <c r="B402" s="422"/>
      <c r="C402" s="422"/>
      <c r="D402" s="422"/>
      <c r="E402" s="422"/>
      <c r="F402" s="422"/>
      <c r="G402" s="422"/>
      <c r="H402" s="422"/>
      <c r="I402" s="422"/>
      <c r="J402" s="422"/>
      <c r="K402" s="422"/>
      <c r="L402" s="422"/>
      <c r="M402" s="422"/>
      <c r="N402" s="422"/>
      <c r="O402" s="422"/>
      <c r="P402" s="422"/>
      <c r="Q402" s="422"/>
      <c r="R402" s="422"/>
      <c r="S402" s="422"/>
      <c r="T402" s="422"/>
      <c r="U402" s="422"/>
      <c r="V402" s="422"/>
      <c r="W402" s="422"/>
      <c r="X402" s="422"/>
      <c r="Y402" s="422"/>
      <c r="Z402" s="422"/>
    </row>
    <row r="403" spans="1:26" ht="15" thickBot="1">
      <c r="A403" s="422"/>
      <c r="B403" s="422"/>
      <c r="C403" s="422"/>
      <c r="D403" s="422"/>
      <c r="E403" s="422"/>
      <c r="F403" s="422"/>
      <c r="G403" s="422"/>
      <c r="H403" s="422"/>
      <c r="I403" s="422"/>
      <c r="J403" s="422"/>
      <c r="K403" s="422"/>
      <c r="L403" s="422"/>
      <c r="M403" s="422"/>
      <c r="N403" s="422"/>
      <c r="O403" s="422"/>
      <c r="P403" s="422"/>
      <c r="Q403" s="422"/>
      <c r="R403" s="422"/>
      <c r="S403" s="422"/>
      <c r="T403" s="422"/>
      <c r="U403" s="422"/>
      <c r="V403" s="422"/>
      <c r="W403" s="422"/>
      <c r="X403" s="422"/>
      <c r="Y403" s="422"/>
      <c r="Z403" s="422"/>
    </row>
    <row r="404" spans="1:26" ht="15" thickBot="1">
      <c r="A404" s="422"/>
      <c r="B404" s="422"/>
      <c r="C404" s="422"/>
      <c r="D404" s="422"/>
      <c r="E404" s="422"/>
      <c r="F404" s="422"/>
      <c r="G404" s="422"/>
      <c r="H404" s="422"/>
      <c r="I404" s="422"/>
      <c r="J404" s="422"/>
      <c r="K404" s="422"/>
      <c r="L404" s="422"/>
      <c r="M404" s="422"/>
      <c r="N404" s="422"/>
      <c r="O404" s="422"/>
      <c r="P404" s="422"/>
      <c r="Q404" s="422"/>
      <c r="R404" s="422"/>
      <c r="S404" s="422"/>
      <c r="T404" s="422"/>
      <c r="U404" s="422"/>
      <c r="V404" s="422"/>
      <c r="W404" s="422"/>
      <c r="X404" s="422"/>
      <c r="Y404" s="422"/>
      <c r="Z404" s="422"/>
    </row>
    <row r="405" spans="1:26" ht="15" thickBot="1">
      <c r="A405" s="422"/>
      <c r="B405" s="422"/>
      <c r="C405" s="422"/>
      <c r="D405" s="422"/>
      <c r="E405" s="422"/>
      <c r="F405" s="422"/>
      <c r="G405" s="422"/>
      <c r="H405" s="422"/>
      <c r="I405" s="422"/>
      <c r="J405" s="422"/>
      <c r="K405" s="422"/>
      <c r="L405" s="422"/>
      <c r="M405" s="422"/>
      <c r="N405" s="422"/>
      <c r="O405" s="422"/>
      <c r="P405" s="422"/>
      <c r="Q405" s="422"/>
      <c r="R405" s="422"/>
      <c r="S405" s="422"/>
      <c r="T405" s="422"/>
      <c r="U405" s="422"/>
      <c r="V405" s="422"/>
      <c r="W405" s="422"/>
      <c r="X405" s="422"/>
      <c r="Y405" s="422"/>
      <c r="Z405" s="422"/>
    </row>
    <row r="406" spans="1:26" ht="15" thickBot="1">
      <c r="A406" s="422"/>
      <c r="B406" s="422"/>
      <c r="C406" s="422"/>
      <c r="D406" s="422"/>
      <c r="E406" s="422"/>
      <c r="F406" s="422"/>
      <c r="G406" s="422"/>
      <c r="H406" s="422"/>
      <c r="I406" s="422"/>
      <c r="J406" s="422"/>
      <c r="K406" s="422"/>
      <c r="L406" s="422"/>
      <c r="M406" s="422"/>
      <c r="N406" s="422"/>
      <c r="O406" s="422"/>
      <c r="P406" s="422"/>
      <c r="Q406" s="422"/>
      <c r="R406" s="422"/>
      <c r="S406" s="422"/>
      <c r="T406" s="422"/>
      <c r="U406" s="422"/>
      <c r="V406" s="422"/>
      <c r="W406" s="422"/>
      <c r="X406" s="422"/>
      <c r="Y406" s="422"/>
      <c r="Z406" s="422"/>
    </row>
    <row r="407" spans="1:26" ht="15" thickBot="1">
      <c r="A407" s="422"/>
      <c r="B407" s="422"/>
      <c r="C407" s="422"/>
      <c r="D407" s="422"/>
      <c r="E407" s="422"/>
      <c r="F407" s="422"/>
      <c r="G407" s="422"/>
      <c r="H407" s="422"/>
      <c r="I407" s="422"/>
      <c r="J407" s="422"/>
      <c r="K407" s="422"/>
      <c r="L407" s="422"/>
      <c r="M407" s="422"/>
      <c r="N407" s="422"/>
      <c r="O407" s="422"/>
      <c r="P407" s="422"/>
      <c r="Q407" s="422"/>
      <c r="R407" s="422"/>
      <c r="S407" s="422"/>
      <c r="T407" s="422"/>
      <c r="U407" s="422"/>
      <c r="V407" s="422"/>
      <c r="W407" s="422"/>
      <c r="X407" s="422"/>
      <c r="Y407" s="422"/>
      <c r="Z407" s="422"/>
    </row>
    <row r="408" spans="1:26" ht="15" thickBot="1">
      <c r="A408" s="422"/>
      <c r="B408" s="422"/>
      <c r="C408" s="422"/>
      <c r="D408" s="422"/>
      <c r="E408" s="422"/>
      <c r="F408" s="422"/>
      <c r="G408" s="422"/>
      <c r="H408" s="422"/>
      <c r="I408" s="422"/>
      <c r="J408" s="422"/>
      <c r="K408" s="422"/>
      <c r="L408" s="422"/>
      <c r="M408" s="422"/>
      <c r="N408" s="422"/>
      <c r="O408" s="422"/>
      <c r="P408" s="422"/>
      <c r="Q408" s="422"/>
      <c r="R408" s="422"/>
      <c r="S408" s="422"/>
      <c r="T408" s="422"/>
      <c r="U408" s="422"/>
      <c r="V408" s="422"/>
      <c r="W408" s="422"/>
      <c r="X408" s="422"/>
      <c r="Y408" s="422"/>
      <c r="Z408" s="422"/>
    </row>
    <row r="409" spans="1:26" ht="15" thickBot="1">
      <c r="A409" s="422"/>
      <c r="B409" s="422"/>
      <c r="C409" s="422"/>
      <c r="D409" s="422"/>
      <c r="E409" s="422"/>
      <c r="F409" s="422"/>
      <c r="G409" s="422"/>
      <c r="H409" s="422"/>
      <c r="I409" s="422"/>
      <c r="J409" s="422"/>
      <c r="K409" s="422"/>
      <c r="L409" s="422"/>
      <c r="M409" s="422"/>
      <c r="N409" s="422"/>
      <c r="O409" s="422"/>
      <c r="P409" s="422"/>
      <c r="Q409" s="422"/>
      <c r="R409" s="422"/>
      <c r="S409" s="422"/>
      <c r="T409" s="422"/>
      <c r="U409" s="422"/>
      <c r="V409" s="422"/>
      <c r="W409" s="422"/>
      <c r="X409" s="422"/>
      <c r="Y409" s="422"/>
      <c r="Z409" s="422"/>
    </row>
    <row r="410" spans="1:26" ht="15" thickBot="1">
      <c r="A410" s="422"/>
      <c r="B410" s="422"/>
      <c r="C410" s="422"/>
      <c r="D410" s="422"/>
      <c r="E410" s="422"/>
      <c r="F410" s="422"/>
      <c r="G410" s="422"/>
      <c r="H410" s="422"/>
      <c r="I410" s="422"/>
      <c r="J410" s="422"/>
      <c r="K410" s="422"/>
      <c r="L410" s="422"/>
      <c r="M410" s="422"/>
      <c r="N410" s="422"/>
      <c r="O410" s="422"/>
      <c r="P410" s="422"/>
      <c r="Q410" s="422"/>
      <c r="R410" s="422"/>
      <c r="S410" s="422"/>
      <c r="T410" s="422"/>
      <c r="U410" s="422"/>
      <c r="V410" s="422"/>
      <c r="W410" s="422"/>
      <c r="X410" s="422"/>
      <c r="Y410" s="422"/>
      <c r="Z410" s="422"/>
    </row>
    <row r="411" spans="1:26" ht="15" thickBot="1">
      <c r="A411" s="422"/>
      <c r="B411" s="422"/>
      <c r="C411" s="422"/>
      <c r="D411" s="422"/>
      <c r="E411" s="422"/>
      <c r="F411" s="422"/>
      <c r="G411" s="422"/>
      <c r="H411" s="422"/>
      <c r="I411" s="422"/>
      <c r="J411" s="422"/>
      <c r="K411" s="422"/>
      <c r="L411" s="422"/>
      <c r="M411" s="422"/>
      <c r="N411" s="422"/>
      <c r="O411" s="422"/>
      <c r="P411" s="422"/>
      <c r="Q411" s="422"/>
      <c r="R411" s="422"/>
      <c r="S411" s="422"/>
      <c r="T411" s="422"/>
      <c r="U411" s="422"/>
      <c r="V411" s="422"/>
      <c r="W411" s="422"/>
      <c r="X411" s="422"/>
      <c r="Y411" s="422"/>
      <c r="Z411" s="422"/>
    </row>
    <row r="412" spans="1:26" ht="15" thickBot="1">
      <c r="A412" s="422"/>
      <c r="B412" s="422"/>
      <c r="C412" s="422"/>
      <c r="D412" s="422"/>
      <c r="E412" s="422"/>
      <c r="F412" s="422"/>
      <c r="G412" s="422"/>
      <c r="H412" s="422"/>
      <c r="I412" s="422"/>
      <c r="J412" s="422"/>
      <c r="K412" s="422"/>
      <c r="L412" s="422"/>
      <c r="M412" s="422"/>
      <c r="N412" s="422"/>
      <c r="O412" s="422"/>
      <c r="P412" s="422"/>
      <c r="Q412" s="422"/>
      <c r="R412" s="422"/>
      <c r="S412" s="422"/>
      <c r="T412" s="422"/>
      <c r="U412" s="422"/>
      <c r="V412" s="422"/>
      <c r="W412" s="422"/>
      <c r="X412" s="422"/>
      <c r="Y412" s="422"/>
      <c r="Z412" s="422"/>
    </row>
    <row r="413" spans="1:26" ht="15" thickBot="1">
      <c r="A413" s="422"/>
      <c r="B413" s="422"/>
      <c r="C413" s="422"/>
      <c r="D413" s="422"/>
      <c r="E413" s="422"/>
      <c r="F413" s="422"/>
      <c r="G413" s="422"/>
      <c r="H413" s="422"/>
      <c r="I413" s="422"/>
      <c r="J413" s="422"/>
      <c r="K413" s="422"/>
      <c r="L413" s="422"/>
      <c r="M413" s="422"/>
      <c r="N413" s="422"/>
      <c r="O413" s="422"/>
      <c r="P413" s="422"/>
      <c r="Q413" s="422"/>
      <c r="R413" s="422"/>
      <c r="S413" s="422"/>
      <c r="T413" s="422"/>
      <c r="U413" s="422"/>
      <c r="V413" s="422"/>
      <c r="W413" s="422"/>
      <c r="X413" s="422"/>
      <c r="Y413" s="422"/>
      <c r="Z413" s="422"/>
    </row>
    <row r="414" spans="1:26" ht="15" thickBot="1">
      <c r="A414" s="422"/>
      <c r="B414" s="422"/>
      <c r="C414" s="422"/>
      <c r="D414" s="422"/>
      <c r="E414" s="422"/>
      <c r="F414" s="422"/>
      <c r="G414" s="422"/>
      <c r="H414" s="422"/>
      <c r="I414" s="422"/>
      <c r="J414" s="422"/>
      <c r="K414" s="422"/>
      <c r="L414" s="422"/>
      <c r="M414" s="422"/>
      <c r="N414" s="422"/>
      <c r="O414" s="422"/>
      <c r="P414" s="422"/>
      <c r="Q414" s="422"/>
      <c r="R414" s="422"/>
      <c r="S414" s="422"/>
      <c r="T414" s="422"/>
      <c r="U414" s="422"/>
      <c r="V414" s="422"/>
      <c r="W414" s="422"/>
      <c r="X414" s="422"/>
      <c r="Y414" s="422"/>
      <c r="Z414" s="422"/>
    </row>
    <row r="415" spans="1:26" ht="15" thickBot="1">
      <c r="A415" s="422"/>
      <c r="B415" s="422"/>
      <c r="C415" s="422"/>
      <c r="D415" s="422"/>
      <c r="E415" s="422"/>
      <c r="F415" s="422"/>
      <c r="G415" s="422"/>
      <c r="H415" s="422"/>
      <c r="I415" s="422"/>
      <c r="J415" s="422"/>
      <c r="K415" s="422"/>
      <c r="L415" s="422"/>
      <c r="M415" s="422"/>
      <c r="N415" s="422"/>
      <c r="O415" s="422"/>
      <c r="P415" s="422"/>
      <c r="Q415" s="422"/>
      <c r="R415" s="422"/>
      <c r="S415" s="422"/>
      <c r="T415" s="422"/>
      <c r="U415" s="422"/>
      <c r="V415" s="422"/>
      <c r="W415" s="422"/>
      <c r="X415" s="422"/>
      <c r="Y415" s="422"/>
      <c r="Z415" s="422"/>
    </row>
    <row r="416" spans="1:26" ht="15" thickBot="1">
      <c r="A416" s="422"/>
      <c r="B416" s="422"/>
      <c r="C416" s="422"/>
      <c r="D416" s="422"/>
      <c r="E416" s="422"/>
      <c r="F416" s="422"/>
      <c r="G416" s="422"/>
      <c r="H416" s="422"/>
      <c r="I416" s="422"/>
      <c r="J416" s="422"/>
      <c r="K416" s="422"/>
      <c r="L416" s="422"/>
      <c r="M416" s="422"/>
      <c r="N416" s="422"/>
      <c r="O416" s="422"/>
      <c r="P416" s="422"/>
      <c r="Q416" s="422"/>
      <c r="R416" s="422"/>
      <c r="S416" s="422"/>
      <c r="T416" s="422"/>
      <c r="U416" s="422"/>
      <c r="V416" s="422"/>
      <c r="W416" s="422"/>
      <c r="X416" s="422"/>
      <c r="Y416" s="422"/>
      <c r="Z416" s="422"/>
    </row>
    <row r="417" spans="1:26" ht="15" thickBot="1">
      <c r="A417" s="422"/>
      <c r="B417" s="422"/>
      <c r="C417" s="422"/>
      <c r="D417" s="422"/>
      <c r="E417" s="422"/>
      <c r="F417" s="422"/>
      <c r="G417" s="422"/>
      <c r="H417" s="422"/>
      <c r="I417" s="422"/>
      <c r="J417" s="422"/>
      <c r="K417" s="422"/>
      <c r="L417" s="422"/>
      <c r="M417" s="422"/>
      <c r="N417" s="422"/>
      <c r="O417" s="422"/>
      <c r="P417" s="422"/>
      <c r="Q417" s="422"/>
      <c r="R417" s="422"/>
      <c r="S417" s="422"/>
      <c r="T417" s="422"/>
      <c r="U417" s="422"/>
      <c r="V417" s="422"/>
      <c r="W417" s="422"/>
      <c r="X417" s="422"/>
      <c r="Y417" s="422"/>
      <c r="Z417" s="422"/>
    </row>
    <row r="418" spans="1:26" ht="15" thickBot="1">
      <c r="A418" s="422"/>
      <c r="B418" s="422"/>
      <c r="C418" s="422"/>
      <c r="D418" s="422"/>
      <c r="E418" s="422"/>
      <c r="F418" s="422"/>
      <c r="G418" s="422"/>
      <c r="H418" s="422"/>
      <c r="I418" s="422"/>
      <c r="J418" s="422"/>
      <c r="K418" s="422"/>
      <c r="L418" s="422"/>
      <c r="M418" s="422"/>
      <c r="N418" s="422"/>
      <c r="O418" s="422"/>
      <c r="P418" s="422"/>
      <c r="Q418" s="422"/>
      <c r="R418" s="422"/>
      <c r="S418" s="422"/>
      <c r="T418" s="422"/>
      <c r="U418" s="422"/>
      <c r="V418" s="422"/>
      <c r="W418" s="422"/>
      <c r="X418" s="422"/>
      <c r="Y418" s="422"/>
      <c r="Z418" s="422"/>
    </row>
    <row r="419" spans="1:26" ht="15" thickBot="1">
      <c r="A419" s="422"/>
      <c r="B419" s="422"/>
      <c r="C419" s="422"/>
      <c r="D419" s="422"/>
      <c r="E419" s="422"/>
      <c r="F419" s="422"/>
      <c r="G419" s="422"/>
      <c r="H419" s="422"/>
      <c r="I419" s="422"/>
      <c r="J419" s="422"/>
      <c r="K419" s="422"/>
      <c r="L419" s="422"/>
      <c r="M419" s="422"/>
      <c r="N419" s="422"/>
      <c r="O419" s="422"/>
      <c r="P419" s="422"/>
      <c r="Q419" s="422"/>
      <c r="R419" s="422"/>
      <c r="S419" s="422"/>
      <c r="T419" s="422"/>
      <c r="U419" s="422"/>
      <c r="V419" s="422"/>
      <c r="W419" s="422"/>
      <c r="X419" s="422"/>
      <c r="Y419" s="422"/>
      <c r="Z419" s="422"/>
    </row>
    <row r="420" spans="1:26" ht="15" thickBot="1">
      <c r="A420" s="422"/>
      <c r="B420" s="422"/>
      <c r="C420" s="422"/>
      <c r="D420" s="422"/>
      <c r="E420" s="422"/>
      <c r="F420" s="422"/>
      <c r="G420" s="422"/>
      <c r="H420" s="422"/>
      <c r="I420" s="422"/>
      <c r="J420" s="422"/>
      <c r="K420" s="422"/>
      <c r="L420" s="422"/>
      <c r="M420" s="422"/>
      <c r="N420" s="422"/>
      <c r="O420" s="422"/>
      <c r="P420" s="422"/>
      <c r="Q420" s="422"/>
      <c r="R420" s="422"/>
      <c r="S420" s="422"/>
      <c r="T420" s="422"/>
      <c r="U420" s="422"/>
      <c r="V420" s="422"/>
      <c r="W420" s="422"/>
      <c r="X420" s="422"/>
      <c r="Y420" s="422"/>
      <c r="Z420" s="422"/>
    </row>
    <row r="421" spans="1:26" ht="15" thickBot="1">
      <c r="A421" s="422"/>
      <c r="B421" s="422"/>
      <c r="C421" s="422"/>
      <c r="D421" s="422"/>
      <c r="E421" s="422"/>
      <c r="F421" s="422"/>
      <c r="G421" s="422"/>
      <c r="H421" s="422"/>
      <c r="I421" s="422"/>
      <c r="J421" s="422"/>
      <c r="K421" s="422"/>
      <c r="L421" s="422"/>
      <c r="M421" s="422"/>
      <c r="N421" s="422"/>
      <c r="O421" s="422"/>
      <c r="P421" s="422"/>
      <c r="Q421" s="422"/>
      <c r="R421" s="422"/>
      <c r="S421" s="422"/>
      <c r="T421" s="422"/>
      <c r="U421" s="422"/>
      <c r="V421" s="422"/>
      <c r="W421" s="422"/>
      <c r="X421" s="422"/>
      <c r="Y421" s="422"/>
      <c r="Z421" s="422"/>
    </row>
    <row r="422" spans="1:26" ht="15" thickBot="1">
      <c r="A422" s="422"/>
      <c r="B422" s="422"/>
      <c r="C422" s="422"/>
      <c r="D422" s="422"/>
      <c r="E422" s="422"/>
      <c r="F422" s="422"/>
      <c r="G422" s="422"/>
      <c r="H422" s="422"/>
      <c r="I422" s="422"/>
      <c r="J422" s="422"/>
      <c r="K422" s="422"/>
      <c r="L422" s="422"/>
      <c r="M422" s="422"/>
      <c r="N422" s="422"/>
      <c r="O422" s="422"/>
      <c r="P422" s="422"/>
      <c r="Q422" s="422"/>
      <c r="R422" s="422"/>
      <c r="S422" s="422"/>
      <c r="T422" s="422"/>
      <c r="U422" s="422"/>
      <c r="V422" s="422"/>
      <c r="W422" s="422"/>
      <c r="X422" s="422"/>
      <c r="Y422" s="422"/>
      <c r="Z422" s="422"/>
    </row>
    <row r="423" spans="1:26" ht="15" thickBot="1">
      <c r="A423" s="422"/>
      <c r="B423" s="422"/>
      <c r="C423" s="422"/>
      <c r="D423" s="422"/>
      <c r="E423" s="422"/>
      <c r="F423" s="422"/>
      <c r="G423" s="422"/>
      <c r="H423" s="422"/>
      <c r="I423" s="422"/>
      <c r="J423" s="422"/>
      <c r="K423" s="422"/>
      <c r="L423" s="422"/>
      <c r="M423" s="422"/>
      <c r="N423" s="422"/>
      <c r="O423" s="422"/>
      <c r="P423" s="422"/>
      <c r="Q423" s="422"/>
      <c r="R423" s="422"/>
      <c r="S423" s="422"/>
      <c r="T423" s="422"/>
      <c r="U423" s="422"/>
      <c r="V423" s="422"/>
      <c r="W423" s="422"/>
      <c r="X423" s="422"/>
      <c r="Y423" s="422"/>
      <c r="Z423" s="422"/>
    </row>
    <row r="424" spans="1:26" ht="15" thickBot="1">
      <c r="A424" s="422"/>
      <c r="B424" s="422"/>
      <c r="C424" s="422"/>
      <c r="D424" s="422"/>
      <c r="E424" s="422"/>
      <c r="F424" s="422"/>
      <c r="G424" s="422"/>
      <c r="H424" s="422"/>
      <c r="I424" s="422"/>
      <c r="J424" s="422"/>
      <c r="K424" s="422"/>
      <c r="L424" s="422"/>
      <c r="M424" s="422"/>
      <c r="N424" s="422"/>
      <c r="O424" s="422"/>
      <c r="P424" s="422"/>
      <c r="Q424" s="422"/>
      <c r="R424" s="422"/>
      <c r="S424" s="422"/>
      <c r="T424" s="422"/>
      <c r="U424" s="422"/>
      <c r="V424" s="422"/>
      <c r="W424" s="422"/>
      <c r="X424" s="422"/>
      <c r="Y424" s="422"/>
      <c r="Z424" s="422"/>
    </row>
    <row r="425" spans="1:26" ht="15" thickBot="1">
      <c r="A425" s="422"/>
      <c r="B425" s="422"/>
      <c r="C425" s="422"/>
      <c r="D425" s="422"/>
      <c r="E425" s="422"/>
      <c r="F425" s="422"/>
      <c r="G425" s="422"/>
      <c r="H425" s="422"/>
      <c r="I425" s="422"/>
      <c r="J425" s="422"/>
      <c r="K425" s="422"/>
      <c r="L425" s="422"/>
      <c r="M425" s="422"/>
      <c r="N425" s="422"/>
      <c r="O425" s="422"/>
      <c r="P425" s="422"/>
      <c r="Q425" s="422"/>
      <c r="R425" s="422"/>
      <c r="S425" s="422"/>
      <c r="T425" s="422"/>
      <c r="U425" s="422"/>
      <c r="V425" s="422"/>
      <c r="W425" s="422"/>
      <c r="X425" s="422"/>
      <c r="Y425" s="422"/>
      <c r="Z425" s="422"/>
    </row>
    <row r="426" spans="1:26" ht="15" thickBot="1">
      <c r="A426" s="422"/>
      <c r="B426" s="422"/>
      <c r="C426" s="422"/>
      <c r="D426" s="422"/>
      <c r="E426" s="422"/>
      <c r="F426" s="422"/>
      <c r="G426" s="422"/>
      <c r="H426" s="422"/>
      <c r="I426" s="422"/>
      <c r="J426" s="422"/>
      <c r="K426" s="422"/>
      <c r="L426" s="422"/>
      <c r="M426" s="422"/>
      <c r="N426" s="422"/>
      <c r="O426" s="422"/>
      <c r="P426" s="422"/>
      <c r="Q426" s="422"/>
      <c r="R426" s="422"/>
      <c r="S426" s="422"/>
      <c r="T426" s="422"/>
      <c r="U426" s="422"/>
      <c r="V426" s="422"/>
      <c r="W426" s="422"/>
      <c r="X426" s="422"/>
      <c r="Y426" s="422"/>
      <c r="Z426" s="422"/>
    </row>
    <row r="427" spans="1:26" ht="15" thickBot="1">
      <c r="A427" s="422"/>
      <c r="B427" s="422"/>
      <c r="C427" s="422"/>
      <c r="D427" s="422"/>
      <c r="E427" s="422"/>
      <c r="F427" s="422"/>
      <c r="G427" s="422"/>
      <c r="H427" s="422"/>
      <c r="I427" s="422"/>
      <c r="J427" s="422"/>
      <c r="K427" s="422"/>
      <c r="L427" s="422"/>
      <c r="M427" s="422"/>
      <c r="N427" s="422"/>
      <c r="O427" s="422"/>
      <c r="P427" s="422"/>
      <c r="Q427" s="422"/>
      <c r="R427" s="422"/>
      <c r="S427" s="422"/>
      <c r="T427" s="422"/>
      <c r="U427" s="422"/>
      <c r="V427" s="422"/>
      <c r="W427" s="422"/>
      <c r="X427" s="422"/>
      <c r="Y427" s="422"/>
      <c r="Z427" s="422"/>
    </row>
    <row r="428" spans="1:26" ht="15" thickBot="1">
      <c r="A428" s="422"/>
      <c r="B428" s="422"/>
      <c r="C428" s="422"/>
      <c r="D428" s="422"/>
      <c r="E428" s="422"/>
      <c r="F428" s="422"/>
      <c r="G428" s="422"/>
      <c r="H428" s="422"/>
      <c r="I428" s="422"/>
      <c r="J428" s="422"/>
      <c r="K428" s="422"/>
      <c r="L428" s="422"/>
      <c r="M428" s="422"/>
      <c r="N428" s="422"/>
      <c r="O428" s="422"/>
      <c r="P428" s="422"/>
      <c r="Q428" s="422"/>
      <c r="R428" s="422"/>
      <c r="S428" s="422"/>
      <c r="T428" s="422"/>
      <c r="U428" s="422"/>
      <c r="V428" s="422"/>
      <c r="W428" s="422"/>
      <c r="X428" s="422"/>
      <c r="Y428" s="422"/>
      <c r="Z428" s="422"/>
    </row>
    <row r="429" spans="1:26" ht="15" thickBot="1">
      <c r="A429" s="422"/>
      <c r="B429" s="422"/>
      <c r="C429" s="422"/>
      <c r="D429" s="422"/>
      <c r="E429" s="422"/>
      <c r="F429" s="422"/>
      <c r="G429" s="422"/>
      <c r="H429" s="422"/>
      <c r="I429" s="422"/>
      <c r="J429" s="422"/>
      <c r="K429" s="422"/>
      <c r="L429" s="422"/>
      <c r="M429" s="422"/>
      <c r="N429" s="422"/>
      <c r="O429" s="422"/>
      <c r="P429" s="422"/>
      <c r="Q429" s="422"/>
      <c r="R429" s="422"/>
      <c r="S429" s="422"/>
      <c r="T429" s="422"/>
      <c r="U429" s="422"/>
      <c r="V429" s="422"/>
      <c r="W429" s="422"/>
      <c r="X429" s="422"/>
      <c r="Y429" s="422"/>
      <c r="Z429" s="422"/>
    </row>
    <row r="430" spans="1:26" ht="15" thickBot="1">
      <c r="A430" s="422"/>
      <c r="B430" s="422"/>
      <c r="C430" s="422"/>
      <c r="D430" s="422"/>
      <c r="E430" s="422"/>
      <c r="F430" s="422"/>
      <c r="G430" s="422"/>
      <c r="H430" s="422"/>
      <c r="I430" s="422"/>
      <c r="J430" s="422"/>
      <c r="K430" s="422"/>
      <c r="L430" s="422"/>
      <c r="M430" s="422"/>
      <c r="N430" s="422"/>
      <c r="O430" s="422"/>
      <c r="P430" s="422"/>
      <c r="Q430" s="422"/>
      <c r="R430" s="422"/>
      <c r="S430" s="422"/>
      <c r="T430" s="422"/>
      <c r="U430" s="422"/>
      <c r="V430" s="422"/>
      <c r="W430" s="422"/>
      <c r="X430" s="422"/>
      <c r="Y430" s="422"/>
      <c r="Z430" s="422"/>
    </row>
    <row r="431" spans="1:26" ht="15" thickBot="1">
      <c r="A431" s="422"/>
      <c r="B431" s="422"/>
      <c r="C431" s="422"/>
      <c r="D431" s="422"/>
      <c r="E431" s="422"/>
      <c r="F431" s="422"/>
      <c r="G431" s="422"/>
      <c r="H431" s="422"/>
      <c r="I431" s="422"/>
      <c r="J431" s="422"/>
      <c r="K431" s="422"/>
      <c r="L431" s="422"/>
      <c r="M431" s="422"/>
      <c r="N431" s="422"/>
      <c r="O431" s="422"/>
      <c r="P431" s="422"/>
      <c r="Q431" s="422"/>
      <c r="R431" s="422"/>
      <c r="S431" s="422"/>
      <c r="T431" s="422"/>
      <c r="U431" s="422"/>
      <c r="V431" s="422"/>
      <c r="W431" s="422"/>
      <c r="X431" s="422"/>
      <c r="Y431" s="422"/>
      <c r="Z431" s="422"/>
    </row>
    <row r="432" spans="1:26" ht="15" thickBot="1">
      <c r="A432" s="422"/>
      <c r="B432" s="422"/>
      <c r="C432" s="422"/>
      <c r="D432" s="422"/>
      <c r="E432" s="422"/>
      <c r="F432" s="422"/>
      <c r="G432" s="422"/>
      <c r="H432" s="422"/>
      <c r="I432" s="422"/>
      <c r="J432" s="422"/>
      <c r="K432" s="422"/>
      <c r="L432" s="422"/>
      <c r="M432" s="422"/>
      <c r="N432" s="422"/>
      <c r="O432" s="422"/>
      <c r="P432" s="422"/>
      <c r="Q432" s="422"/>
      <c r="R432" s="422"/>
      <c r="S432" s="422"/>
      <c r="T432" s="422"/>
      <c r="U432" s="422"/>
      <c r="V432" s="422"/>
      <c r="W432" s="422"/>
      <c r="X432" s="422"/>
      <c r="Y432" s="422"/>
      <c r="Z432" s="422"/>
    </row>
    <row r="433" spans="1:26" ht="15" thickBot="1">
      <c r="A433" s="422"/>
      <c r="B433" s="422"/>
      <c r="C433" s="422"/>
      <c r="D433" s="422"/>
      <c r="E433" s="422"/>
      <c r="F433" s="422"/>
      <c r="G433" s="422"/>
      <c r="H433" s="422"/>
      <c r="I433" s="422"/>
      <c r="J433" s="422"/>
      <c r="K433" s="422"/>
      <c r="L433" s="422"/>
      <c r="M433" s="422"/>
      <c r="N433" s="422"/>
      <c r="O433" s="422"/>
      <c r="P433" s="422"/>
      <c r="Q433" s="422"/>
      <c r="R433" s="422"/>
      <c r="S433" s="422"/>
      <c r="T433" s="422"/>
      <c r="U433" s="422"/>
      <c r="V433" s="422"/>
      <c r="W433" s="422"/>
      <c r="X433" s="422"/>
      <c r="Y433" s="422"/>
      <c r="Z433" s="422"/>
    </row>
    <row r="434" spans="1:26" ht="15" thickBot="1">
      <c r="A434" s="422"/>
      <c r="B434" s="422"/>
      <c r="C434" s="422"/>
      <c r="D434" s="422"/>
      <c r="E434" s="422"/>
      <c r="F434" s="422"/>
      <c r="G434" s="422"/>
      <c r="H434" s="422"/>
      <c r="I434" s="422"/>
      <c r="J434" s="422"/>
      <c r="K434" s="422"/>
      <c r="L434" s="422"/>
      <c r="M434" s="422"/>
      <c r="N434" s="422"/>
      <c r="O434" s="422"/>
      <c r="P434" s="422"/>
      <c r="Q434" s="422"/>
      <c r="R434" s="422"/>
      <c r="S434" s="422"/>
      <c r="T434" s="422"/>
      <c r="U434" s="422"/>
      <c r="V434" s="422"/>
      <c r="W434" s="422"/>
      <c r="X434" s="422"/>
      <c r="Y434" s="422"/>
      <c r="Z434" s="422"/>
    </row>
    <row r="435" spans="1:26" ht="15" thickBot="1">
      <c r="A435" s="422"/>
      <c r="B435" s="422"/>
      <c r="C435" s="422"/>
      <c r="D435" s="422"/>
      <c r="E435" s="422"/>
      <c r="F435" s="422"/>
      <c r="G435" s="422"/>
      <c r="H435" s="422"/>
      <c r="I435" s="422"/>
      <c r="J435" s="422"/>
      <c r="K435" s="422"/>
      <c r="L435" s="422"/>
      <c r="M435" s="422"/>
      <c r="N435" s="422"/>
      <c r="O435" s="422"/>
      <c r="P435" s="422"/>
      <c r="Q435" s="422"/>
      <c r="R435" s="422"/>
      <c r="S435" s="422"/>
      <c r="T435" s="422"/>
      <c r="U435" s="422"/>
      <c r="V435" s="422"/>
      <c r="W435" s="422"/>
      <c r="X435" s="422"/>
      <c r="Y435" s="422"/>
      <c r="Z435" s="422"/>
    </row>
    <row r="436" spans="1:26" ht="15" thickBot="1">
      <c r="A436" s="422"/>
      <c r="B436" s="422"/>
      <c r="C436" s="422"/>
      <c r="D436" s="422"/>
      <c r="E436" s="422"/>
      <c r="F436" s="422"/>
      <c r="G436" s="422"/>
      <c r="H436" s="422"/>
      <c r="I436" s="422"/>
      <c r="J436" s="422"/>
      <c r="K436" s="422"/>
      <c r="L436" s="422"/>
      <c r="M436" s="422"/>
      <c r="N436" s="422"/>
      <c r="O436" s="422"/>
      <c r="P436" s="422"/>
      <c r="Q436" s="422"/>
      <c r="R436" s="422"/>
      <c r="S436" s="422"/>
      <c r="T436" s="422"/>
      <c r="U436" s="422"/>
      <c r="V436" s="422"/>
      <c r="W436" s="422"/>
      <c r="X436" s="422"/>
      <c r="Y436" s="422"/>
      <c r="Z436" s="422"/>
    </row>
    <row r="437" spans="1:26" ht="15" thickBot="1">
      <c r="A437" s="422"/>
      <c r="B437" s="422"/>
      <c r="C437" s="422"/>
      <c r="D437" s="422"/>
      <c r="E437" s="422"/>
      <c r="F437" s="422"/>
      <c r="G437" s="422"/>
      <c r="H437" s="422"/>
      <c r="I437" s="422"/>
      <c r="J437" s="422"/>
      <c r="K437" s="422"/>
      <c r="L437" s="422"/>
      <c r="M437" s="422"/>
      <c r="N437" s="422"/>
      <c r="O437" s="422"/>
      <c r="P437" s="422"/>
      <c r="Q437" s="422"/>
      <c r="R437" s="422"/>
      <c r="S437" s="422"/>
      <c r="T437" s="422"/>
      <c r="U437" s="422"/>
      <c r="V437" s="422"/>
      <c r="W437" s="422"/>
      <c r="X437" s="422"/>
      <c r="Y437" s="422"/>
      <c r="Z437" s="422"/>
    </row>
    <row r="438" spans="1:26" ht="15" thickBot="1">
      <c r="A438" s="422"/>
      <c r="B438" s="422"/>
      <c r="C438" s="422"/>
      <c r="D438" s="422"/>
      <c r="E438" s="422"/>
      <c r="F438" s="422"/>
      <c r="G438" s="422"/>
      <c r="H438" s="422"/>
      <c r="I438" s="422"/>
      <c r="J438" s="422"/>
      <c r="K438" s="422"/>
      <c r="L438" s="422"/>
      <c r="M438" s="422"/>
      <c r="N438" s="422"/>
      <c r="O438" s="422"/>
      <c r="P438" s="422"/>
      <c r="Q438" s="422"/>
      <c r="R438" s="422"/>
      <c r="S438" s="422"/>
      <c r="T438" s="422"/>
      <c r="U438" s="422"/>
      <c r="V438" s="422"/>
      <c r="W438" s="422"/>
      <c r="X438" s="422"/>
      <c r="Y438" s="422"/>
      <c r="Z438" s="422"/>
    </row>
    <row r="439" spans="1:26" ht="15" thickBot="1">
      <c r="A439" s="422"/>
      <c r="B439" s="422"/>
      <c r="C439" s="422"/>
      <c r="D439" s="422"/>
      <c r="E439" s="422"/>
      <c r="F439" s="422"/>
      <c r="G439" s="422"/>
      <c r="H439" s="422"/>
      <c r="I439" s="422"/>
      <c r="J439" s="422"/>
      <c r="K439" s="422"/>
      <c r="L439" s="422"/>
      <c r="M439" s="422"/>
      <c r="N439" s="422"/>
      <c r="O439" s="422"/>
      <c r="P439" s="422"/>
      <c r="Q439" s="422"/>
      <c r="R439" s="422"/>
      <c r="S439" s="422"/>
      <c r="T439" s="422"/>
      <c r="U439" s="422"/>
      <c r="V439" s="422"/>
      <c r="W439" s="422"/>
      <c r="X439" s="422"/>
      <c r="Y439" s="422"/>
      <c r="Z439" s="422"/>
    </row>
    <row r="440" spans="1:26" ht="15" thickBot="1">
      <c r="A440" s="422"/>
      <c r="B440" s="422"/>
      <c r="C440" s="422"/>
      <c r="D440" s="422"/>
      <c r="E440" s="422"/>
      <c r="F440" s="422"/>
      <c r="G440" s="422"/>
      <c r="H440" s="422"/>
      <c r="I440" s="422"/>
      <c r="J440" s="422"/>
      <c r="K440" s="422"/>
      <c r="L440" s="422"/>
      <c r="M440" s="422"/>
      <c r="N440" s="422"/>
      <c r="O440" s="422"/>
      <c r="P440" s="422"/>
      <c r="Q440" s="422"/>
      <c r="R440" s="422"/>
      <c r="S440" s="422"/>
      <c r="T440" s="422"/>
      <c r="U440" s="422"/>
      <c r="V440" s="422"/>
      <c r="W440" s="422"/>
      <c r="X440" s="422"/>
      <c r="Y440" s="422"/>
      <c r="Z440" s="422"/>
    </row>
    <row r="441" spans="1:26" ht="15" thickBot="1">
      <c r="A441" s="422"/>
      <c r="B441" s="422"/>
      <c r="C441" s="422"/>
      <c r="D441" s="422"/>
      <c r="E441" s="422"/>
      <c r="F441" s="422"/>
      <c r="G441" s="422"/>
      <c r="H441" s="422"/>
      <c r="I441" s="422"/>
      <c r="J441" s="422"/>
      <c r="K441" s="422"/>
      <c r="L441" s="422"/>
      <c r="M441" s="422"/>
      <c r="N441" s="422"/>
      <c r="O441" s="422"/>
      <c r="P441" s="422"/>
      <c r="Q441" s="422"/>
      <c r="R441" s="422"/>
      <c r="S441" s="422"/>
      <c r="T441" s="422"/>
      <c r="U441" s="422"/>
      <c r="V441" s="422"/>
      <c r="W441" s="422"/>
      <c r="X441" s="422"/>
      <c r="Y441" s="422"/>
      <c r="Z441" s="422"/>
    </row>
    <row r="442" spans="1:26" ht="15" thickBot="1">
      <c r="A442" s="422"/>
      <c r="B442" s="422"/>
      <c r="C442" s="422"/>
      <c r="D442" s="422"/>
      <c r="E442" s="422"/>
      <c r="F442" s="422"/>
      <c r="G442" s="422"/>
      <c r="H442" s="422"/>
      <c r="I442" s="422"/>
      <c r="J442" s="422"/>
      <c r="K442" s="422"/>
      <c r="L442" s="422"/>
      <c r="M442" s="422"/>
      <c r="N442" s="422"/>
      <c r="O442" s="422"/>
      <c r="P442" s="422"/>
      <c r="Q442" s="422"/>
      <c r="R442" s="422"/>
      <c r="S442" s="422"/>
      <c r="T442" s="422"/>
      <c r="U442" s="422"/>
      <c r="V442" s="422"/>
      <c r="W442" s="422"/>
      <c r="X442" s="422"/>
      <c r="Y442" s="422"/>
      <c r="Z442" s="422"/>
    </row>
    <row r="443" spans="1:26" ht="15" thickBot="1">
      <c r="A443" s="422"/>
      <c r="B443" s="422"/>
      <c r="C443" s="422"/>
      <c r="D443" s="422"/>
      <c r="E443" s="422"/>
      <c r="F443" s="422"/>
      <c r="G443" s="422"/>
      <c r="H443" s="422"/>
      <c r="I443" s="422"/>
      <c r="J443" s="422"/>
      <c r="K443" s="422"/>
      <c r="L443" s="422"/>
      <c r="M443" s="422"/>
      <c r="N443" s="422"/>
      <c r="O443" s="422"/>
      <c r="P443" s="422"/>
      <c r="Q443" s="422"/>
      <c r="R443" s="422"/>
      <c r="S443" s="422"/>
      <c r="T443" s="422"/>
      <c r="U443" s="422"/>
      <c r="V443" s="422"/>
      <c r="W443" s="422"/>
      <c r="X443" s="422"/>
      <c r="Y443" s="422"/>
      <c r="Z443" s="422"/>
    </row>
    <row r="444" spans="1:26" ht="15" thickBot="1">
      <c r="A444" s="422"/>
      <c r="B444" s="422"/>
      <c r="C444" s="422"/>
      <c r="D444" s="422"/>
      <c r="E444" s="422"/>
      <c r="F444" s="422"/>
      <c r="G444" s="422"/>
      <c r="H444" s="422"/>
      <c r="I444" s="422"/>
      <c r="J444" s="422"/>
      <c r="K444" s="422"/>
      <c r="L444" s="422"/>
      <c r="M444" s="422"/>
      <c r="N444" s="422"/>
      <c r="O444" s="422"/>
      <c r="P444" s="422"/>
      <c r="Q444" s="422"/>
      <c r="R444" s="422"/>
      <c r="S444" s="422"/>
      <c r="T444" s="422"/>
      <c r="U444" s="422"/>
      <c r="V444" s="422"/>
      <c r="W444" s="422"/>
      <c r="X444" s="422"/>
      <c r="Y444" s="422"/>
      <c r="Z444" s="422"/>
    </row>
    <row r="445" spans="1:26" ht="15" thickBot="1">
      <c r="A445" s="422"/>
      <c r="B445" s="422"/>
      <c r="C445" s="422"/>
      <c r="D445" s="422"/>
      <c r="E445" s="422"/>
      <c r="F445" s="422"/>
      <c r="G445" s="422"/>
      <c r="H445" s="422"/>
      <c r="I445" s="422"/>
      <c r="J445" s="422"/>
      <c r="K445" s="422"/>
      <c r="L445" s="422"/>
      <c r="M445" s="422"/>
      <c r="N445" s="422"/>
      <c r="O445" s="422"/>
      <c r="P445" s="422"/>
      <c r="Q445" s="422"/>
      <c r="R445" s="422"/>
      <c r="S445" s="422"/>
      <c r="T445" s="422"/>
      <c r="U445" s="422"/>
      <c r="V445" s="422"/>
      <c r="W445" s="422"/>
      <c r="X445" s="422"/>
      <c r="Y445" s="422"/>
      <c r="Z445" s="422"/>
    </row>
    <row r="446" spans="1:26" ht="15" thickBot="1">
      <c r="A446" s="422"/>
      <c r="B446" s="422"/>
      <c r="C446" s="422"/>
      <c r="D446" s="422"/>
      <c r="E446" s="422"/>
      <c r="F446" s="422"/>
      <c r="G446" s="422"/>
      <c r="H446" s="422"/>
      <c r="I446" s="422"/>
      <c r="J446" s="422"/>
      <c r="K446" s="422"/>
      <c r="L446" s="422"/>
      <c r="M446" s="422"/>
      <c r="N446" s="422"/>
      <c r="O446" s="422"/>
      <c r="P446" s="422"/>
      <c r="Q446" s="422"/>
      <c r="R446" s="422"/>
      <c r="S446" s="422"/>
      <c r="T446" s="422"/>
      <c r="U446" s="422"/>
      <c r="V446" s="422"/>
      <c r="W446" s="422"/>
      <c r="X446" s="422"/>
      <c r="Y446" s="422"/>
      <c r="Z446" s="422"/>
    </row>
    <row r="447" spans="1:26" ht="15" thickBot="1">
      <c r="A447" s="422"/>
      <c r="B447" s="422"/>
      <c r="C447" s="422"/>
      <c r="D447" s="422"/>
      <c r="E447" s="422"/>
      <c r="F447" s="422"/>
      <c r="G447" s="422"/>
      <c r="H447" s="422"/>
      <c r="I447" s="422"/>
      <c r="J447" s="422"/>
      <c r="K447" s="422"/>
      <c r="L447" s="422"/>
      <c r="M447" s="422"/>
      <c r="N447" s="422"/>
      <c r="O447" s="422"/>
      <c r="P447" s="422"/>
      <c r="Q447" s="422"/>
      <c r="R447" s="422"/>
      <c r="S447" s="422"/>
      <c r="T447" s="422"/>
      <c r="U447" s="422"/>
      <c r="V447" s="422"/>
      <c r="W447" s="422"/>
      <c r="X447" s="422"/>
      <c r="Y447" s="422"/>
      <c r="Z447" s="422"/>
    </row>
    <row r="448" spans="1:26" ht="15" thickBot="1">
      <c r="A448" s="422"/>
      <c r="B448" s="422"/>
      <c r="C448" s="422"/>
      <c r="D448" s="422"/>
      <c r="E448" s="422"/>
      <c r="F448" s="422"/>
      <c r="G448" s="422"/>
      <c r="H448" s="422"/>
      <c r="I448" s="422"/>
      <c r="J448" s="422"/>
      <c r="K448" s="422"/>
      <c r="L448" s="422"/>
      <c r="M448" s="422"/>
      <c r="N448" s="422"/>
      <c r="O448" s="422"/>
      <c r="P448" s="422"/>
      <c r="Q448" s="422"/>
      <c r="R448" s="422"/>
      <c r="S448" s="422"/>
      <c r="T448" s="422"/>
      <c r="U448" s="422"/>
      <c r="V448" s="422"/>
      <c r="W448" s="422"/>
      <c r="X448" s="422"/>
      <c r="Y448" s="422"/>
      <c r="Z448" s="422"/>
    </row>
    <row r="449" spans="1:26" ht="15" thickBot="1">
      <c r="A449" s="422"/>
      <c r="B449" s="422"/>
      <c r="C449" s="422"/>
      <c r="D449" s="422"/>
      <c r="E449" s="422"/>
      <c r="F449" s="422"/>
      <c r="G449" s="422"/>
      <c r="H449" s="422"/>
      <c r="I449" s="422"/>
      <c r="J449" s="422"/>
      <c r="K449" s="422"/>
      <c r="L449" s="422"/>
      <c r="M449" s="422"/>
      <c r="N449" s="422"/>
      <c r="O449" s="422"/>
      <c r="P449" s="422"/>
      <c r="Q449" s="422"/>
      <c r="R449" s="422"/>
      <c r="S449" s="422"/>
      <c r="T449" s="422"/>
      <c r="U449" s="422"/>
      <c r="V449" s="422"/>
      <c r="W449" s="422"/>
      <c r="X449" s="422"/>
      <c r="Y449" s="422"/>
      <c r="Z449" s="422"/>
    </row>
    <row r="450" spans="1:26" ht="15" thickBot="1">
      <c r="A450" s="422"/>
      <c r="B450" s="422"/>
      <c r="C450" s="422"/>
      <c r="D450" s="422"/>
      <c r="E450" s="422"/>
      <c r="F450" s="422"/>
      <c r="G450" s="422"/>
      <c r="H450" s="422"/>
      <c r="I450" s="422"/>
      <c r="J450" s="422"/>
      <c r="K450" s="422"/>
      <c r="L450" s="422"/>
      <c r="M450" s="422"/>
      <c r="N450" s="422"/>
      <c r="O450" s="422"/>
      <c r="P450" s="422"/>
      <c r="Q450" s="422"/>
      <c r="R450" s="422"/>
      <c r="S450" s="422"/>
      <c r="T450" s="422"/>
      <c r="U450" s="422"/>
      <c r="V450" s="422"/>
      <c r="W450" s="422"/>
      <c r="X450" s="422"/>
      <c r="Y450" s="422"/>
      <c r="Z450" s="422"/>
    </row>
    <row r="451" spans="1:26" ht="15" thickBot="1">
      <c r="A451" s="422"/>
      <c r="B451" s="422"/>
      <c r="C451" s="422"/>
      <c r="D451" s="422"/>
      <c r="E451" s="422"/>
      <c r="F451" s="422"/>
      <c r="G451" s="422"/>
      <c r="H451" s="422"/>
      <c r="I451" s="422"/>
      <c r="J451" s="422"/>
      <c r="K451" s="422"/>
      <c r="L451" s="422"/>
      <c r="M451" s="422"/>
      <c r="N451" s="422"/>
      <c r="O451" s="422"/>
      <c r="P451" s="422"/>
      <c r="Q451" s="422"/>
      <c r="R451" s="422"/>
      <c r="S451" s="422"/>
      <c r="T451" s="422"/>
      <c r="U451" s="422"/>
      <c r="V451" s="422"/>
      <c r="W451" s="422"/>
      <c r="X451" s="422"/>
      <c r="Y451" s="422"/>
      <c r="Z451" s="422"/>
    </row>
    <row r="452" spans="1:26" ht="15" thickBot="1">
      <c r="A452" s="422"/>
      <c r="B452" s="422"/>
      <c r="C452" s="422"/>
      <c r="D452" s="422"/>
      <c r="E452" s="422"/>
      <c r="F452" s="422"/>
      <c r="G452" s="422"/>
      <c r="H452" s="422"/>
      <c r="I452" s="422"/>
      <c r="J452" s="422"/>
      <c r="K452" s="422"/>
      <c r="L452" s="422"/>
      <c r="M452" s="422"/>
      <c r="N452" s="422"/>
      <c r="O452" s="422"/>
      <c r="P452" s="422"/>
      <c r="Q452" s="422"/>
      <c r="R452" s="422"/>
      <c r="S452" s="422"/>
      <c r="T452" s="422"/>
      <c r="U452" s="422"/>
      <c r="V452" s="422"/>
      <c r="W452" s="422"/>
      <c r="X452" s="422"/>
      <c r="Y452" s="422"/>
      <c r="Z452" s="422"/>
    </row>
    <row r="453" spans="1:26" ht="15" thickBot="1">
      <c r="A453" s="422"/>
      <c r="B453" s="422"/>
      <c r="C453" s="422"/>
      <c r="D453" s="422"/>
      <c r="E453" s="422"/>
      <c r="F453" s="422"/>
      <c r="G453" s="422"/>
      <c r="H453" s="422"/>
      <c r="I453" s="422"/>
      <c r="J453" s="422"/>
      <c r="K453" s="422"/>
      <c r="L453" s="422"/>
      <c r="M453" s="422"/>
      <c r="N453" s="422"/>
      <c r="O453" s="422"/>
      <c r="P453" s="422"/>
      <c r="Q453" s="422"/>
      <c r="R453" s="422"/>
      <c r="S453" s="422"/>
      <c r="T453" s="422"/>
      <c r="U453" s="422"/>
      <c r="V453" s="422"/>
      <c r="W453" s="422"/>
      <c r="X453" s="422"/>
      <c r="Y453" s="422"/>
      <c r="Z453" s="422"/>
    </row>
    <row r="454" spans="1:26" ht="15" thickBot="1">
      <c r="A454" s="422"/>
      <c r="B454" s="422"/>
      <c r="C454" s="422"/>
      <c r="D454" s="422"/>
      <c r="E454" s="422"/>
      <c r="F454" s="422"/>
      <c r="G454" s="422"/>
      <c r="H454" s="422"/>
      <c r="I454" s="422"/>
      <c r="J454" s="422"/>
      <c r="K454" s="422"/>
      <c r="L454" s="422"/>
      <c r="M454" s="422"/>
      <c r="N454" s="422"/>
      <c r="O454" s="422"/>
      <c r="P454" s="422"/>
      <c r="Q454" s="422"/>
      <c r="R454" s="422"/>
      <c r="S454" s="422"/>
      <c r="T454" s="422"/>
      <c r="U454" s="422"/>
      <c r="V454" s="422"/>
      <c r="W454" s="422"/>
      <c r="X454" s="422"/>
      <c r="Y454" s="422"/>
      <c r="Z454" s="422"/>
    </row>
    <row r="455" spans="1:26" ht="15" thickBot="1">
      <c r="A455" s="422"/>
      <c r="B455" s="422"/>
      <c r="C455" s="422"/>
      <c r="D455" s="422"/>
      <c r="E455" s="422"/>
      <c r="F455" s="422"/>
      <c r="G455" s="422"/>
      <c r="H455" s="422"/>
      <c r="I455" s="422"/>
      <c r="J455" s="422"/>
      <c r="K455" s="422"/>
      <c r="L455" s="422"/>
      <c r="M455" s="422"/>
      <c r="N455" s="422"/>
      <c r="O455" s="422"/>
      <c r="P455" s="422"/>
      <c r="Q455" s="422"/>
      <c r="R455" s="422"/>
      <c r="S455" s="422"/>
      <c r="T455" s="422"/>
      <c r="U455" s="422"/>
      <c r="V455" s="422"/>
      <c r="W455" s="422"/>
      <c r="X455" s="422"/>
      <c r="Y455" s="422"/>
      <c r="Z455" s="422"/>
    </row>
    <row r="456" spans="1:26" ht="15" thickBot="1">
      <c r="A456" s="422"/>
      <c r="B456" s="422"/>
      <c r="C456" s="422"/>
      <c r="D456" s="422"/>
      <c r="E456" s="422"/>
      <c r="F456" s="422"/>
      <c r="G456" s="422"/>
      <c r="H456" s="422"/>
      <c r="I456" s="422"/>
      <c r="J456" s="422"/>
      <c r="K456" s="422"/>
      <c r="L456" s="422"/>
      <c r="M456" s="422"/>
      <c r="N456" s="422"/>
      <c r="O456" s="422"/>
      <c r="P456" s="422"/>
      <c r="Q456" s="422"/>
      <c r="R456" s="422"/>
      <c r="S456" s="422"/>
      <c r="T456" s="422"/>
      <c r="U456" s="422"/>
      <c r="V456" s="422"/>
      <c r="W456" s="422"/>
      <c r="X456" s="422"/>
      <c r="Y456" s="422"/>
      <c r="Z456" s="422"/>
    </row>
    <row r="457" spans="1:26" ht="15" thickBot="1">
      <c r="A457" s="422"/>
      <c r="B457" s="422"/>
      <c r="C457" s="422"/>
      <c r="D457" s="422"/>
      <c r="E457" s="422"/>
      <c r="F457" s="422"/>
      <c r="G457" s="422"/>
      <c r="H457" s="422"/>
      <c r="I457" s="422"/>
      <c r="J457" s="422"/>
      <c r="K457" s="422"/>
      <c r="L457" s="422"/>
      <c r="M457" s="422"/>
      <c r="N457" s="422"/>
      <c r="O457" s="422"/>
      <c r="P457" s="422"/>
      <c r="Q457" s="422"/>
      <c r="R457" s="422"/>
      <c r="S457" s="422"/>
      <c r="T457" s="422"/>
      <c r="U457" s="422"/>
      <c r="V457" s="422"/>
      <c r="W457" s="422"/>
      <c r="X457" s="422"/>
      <c r="Y457" s="422"/>
      <c r="Z457" s="422"/>
    </row>
    <row r="458" spans="1:26" ht="15" thickBot="1">
      <c r="A458" s="422"/>
      <c r="B458" s="422"/>
      <c r="C458" s="422"/>
      <c r="D458" s="422"/>
      <c r="E458" s="422"/>
      <c r="F458" s="422"/>
      <c r="G458" s="422"/>
      <c r="H458" s="422"/>
      <c r="I458" s="422"/>
      <c r="J458" s="422"/>
      <c r="K458" s="422"/>
      <c r="L458" s="422"/>
      <c r="M458" s="422"/>
      <c r="N458" s="422"/>
      <c r="O458" s="422"/>
      <c r="P458" s="422"/>
      <c r="Q458" s="422"/>
      <c r="R458" s="422"/>
      <c r="S458" s="422"/>
      <c r="T458" s="422"/>
      <c r="U458" s="422"/>
      <c r="V458" s="422"/>
      <c r="W458" s="422"/>
      <c r="X458" s="422"/>
      <c r="Y458" s="422"/>
      <c r="Z458" s="422"/>
    </row>
    <row r="459" spans="1:26" ht="15" thickBot="1">
      <c r="A459" s="422"/>
      <c r="B459" s="422"/>
      <c r="C459" s="422"/>
      <c r="D459" s="422"/>
      <c r="E459" s="422"/>
      <c r="F459" s="422"/>
      <c r="G459" s="422"/>
      <c r="H459" s="422"/>
      <c r="I459" s="422"/>
      <c r="J459" s="422"/>
      <c r="K459" s="422"/>
      <c r="L459" s="422"/>
      <c r="M459" s="422"/>
      <c r="N459" s="422"/>
      <c r="O459" s="422"/>
      <c r="P459" s="422"/>
      <c r="Q459" s="422"/>
      <c r="R459" s="422"/>
      <c r="S459" s="422"/>
      <c r="T459" s="422"/>
      <c r="U459" s="422"/>
      <c r="V459" s="422"/>
      <c r="W459" s="422"/>
      <c r="X459" s="422"/>
      <c r="Y459" s="422"/>
      <c r="Z459" s="422"/>
    </row>
    <row r="460" spans="1:26" ht="15" thickBot="1">
      <c r="A460" s="422"/>
      <c r="B460" s="422"/>
      <c r="C460" s="422"/>
      <c r="D460" s="422"/>
      <c r="E460" s="422"/>
      <c r="F460" s="422"/>
      <c r="G460" s="422"/>
      <c r="H460" s="422"/>
      <c r="I460" s="422"/>
      <c r="J460" s="422"/>
      <c r="K460" s="422"/>
      <c r="L460" s="422"/>
      <c r="M460" s="422"/>
      <c r="N460" s="422"/>
      <c r="O460" s="422"/>
      <c r="P460" s="422"/>
      <c r="Q460" s="422"/>
      <c r="R460" s="422"/>
      <c r="S460" s="422"/>
      <c r="T460" s="422"/>
      <c r="U460" s="422"/>
      <c r="V460" s="422"/>
      <c r="W460" s="422"/>
      <c r="X460" s="422"/>
      <c r="Y460" s="422"/>
      <c r="Z460" s="422"/>
    </row>
    <row r="461" spans="1:26" ht="15" thickBot="1">
      <c r="A461" s="422"/>
      <c r="B461" s="422"/>
      <c r="C461" s="422"/>
      <c r="D461" s="422"/>
      <c r="E461" s="422"/>
      <c r="F461" s="422"/>
      <c r="G461" s="422"/>
      <c r="H461" s="422"/>
      <c r="I461" s="422"/>
      <c r="J461" s="422"/>
      <c r="K461" s="422"/>
      <c r="L461" s="422"/>
      <c r="M461" s="422"/>
      <c r="N461" s="422"/>
      <c r="O461" s="422"/>
      <c r="P461" s="422"/>
      <c r="Q461" s="422"/>
      <c r="R461" s="422"/>
      <c r="S461" s="422"/>
      <c r="T461" s="422"/>
      <c r="U461" s="422"/>
      <c r="V461" s="422"/>
      <c r="W461" s="422"/>
      <c r="X461" s="422"/>
      <c r="Y461" s="422"/>
      <c r="Z461" s="422"/>
    </row>
    <row r="462" spans="1:26" ht="15" thickBot="1">
      <c r="A462" s="422"/>
      <c r="B462" s="422"/>
      <c r="C462" s="422"/>
      <c r="D462" s="422"/>
      <c r="E462" s="422"/>
      <c r="F462" s="422"/>
      <c r="G462" s="422"/>
      <c r="H462" s="422"/>
      <c r="I462" s="422"/>
      <c r="J462" s="422"/>
      <c r="K462" s="422"/>
      <c r="L462" s="422"/>
      <c r="M462" s="422"/>
      <c r="N462" s="422"/>
      <c r="O462" s="422"/>
      <c r="P462" s="422"/>
      <c r="Q462" s="422"/>
      <c r="R462" s="422"/>
      <c r="S462" s="422"/>
      <c r="T462" s="422"/>
      <c r="U462" s="422"/>
      <c r="V462" s="422"/>
      <c r="W462" s="422"/>
      <c r="X462" s="422"/>
      <c r="Y462" s="422"/>
      <c r="Z462" s="422"/>
    </row>
    <row r="463" spans="1:26" ht="15" thickBot="1">
      <c r="A463" s="422"/>
      <c r="B463" s="422"/>
      <c r="C463" s="422"/>
      <c r="D463" s="422"/>
      <c r="E463" s="422"/>
      <c r="F463" s="422"/>
      <c r="G463" s="422"/>
      <c r="H463" s="422"/>
      <c r="I463" s="422"/>
      <c r="J463" s="422"/>
      <c r="K463" s="422"/>
      <c r="L463" s="422"/>
      <c r="M463" s="422"/>
      <c r="N463" s="422"/>
      <c r="O463" s="422"/>
      <c r="P463" s="422"/>
      <c r="Q463" s="422"/>
      <c r="R463" s="422"/>
      <c r="S463" s="422"/>
      <c r="T463" s="422"/>
      <c r="U463" s="422"/>
      <c r="V463" s="422"/>
      <c r="W463" s="422"/>
      <c r="X463" s="422"/>
      <c r="Y463" s="422"/>
      <c r="Z463" s="422"/>
    </row>
    <row r="464" spans="1:26" ht="15" thickBot="1">
      <c r="A464" s="422"/>
      <c r="B464" s="422"/>
      <c r="C464" s="422"/>
      <c r="D464" s="422"/>
      <c r="E464" s="422"/>
      <c r="F464" s="422"/>
      <c r="G464" s="422"/>
      <c r="H464" s="422"/>
      <c r="I464" s="422"/>
      <c r="J464" s="422"/>
      <c r="K464" s="422"/>
      <c r="L464" s="422"/>
      <c r="M464" s="422"/>
      <c r="N464" s="422"/>
      <c r="O464" s="422"/>
      <c r="P464" s="422"/>
      <c r="Q464" s="422"/>
      <c r="R464" s="422"/>
      <c r="S464" s="422"/>
      <c r="T464" s="422"/>
      <c r="U464" s="422"/>
      <c r="V464" s="422"/>
      <c r="W464" s="422"/>
      <c r="X464" s="422"/>
      <c r="Y464" s="422"/>
      <c r="Z464" s="422"/>
    </row>
    <row r="465" spans="1:26" ht="15" thickBot="1">
      <c r="A465" s="422"/>
      <c r="B465" s="422"/>
      <c r="C465" s="422"/>
      <c r="D465" s="422"/>
      <c r="E465" s="422"/>
      <c r="F465" s="422"/>
      <c r="G465" s="422"/>
      <c r="H465" s="422"/>
      <c r="I465" s="422"/>
      <c r="J465" s="422"/>
      <c r="K465" s="422"/>
      <c r="L465" s="422"/>
      <c r="M465" s="422"/>
      <c r="N465" s="422"/>
      <c r="O465" s="422"/>
      <c r="P465" s="422"/>
      <c r="Q465" s="422"/>
      <c r="R465" s="422"/>
      <c r="S465" s="422"/>
      <c r="T465" s="422"/>
      <c r="U465" s="422"/>
      <c r="V465" s="422"/>
      <c r="W465" s="422"/>
      <c r="X465" s="422"/>
      <c r="Y465" s="422"/>
      <c r="Z465" s="422"/>
    </row>
    <row r="466" spans="1:26" ht="15" thickBot="1">
      <c r="A466" s="422"/>
      <c r="B466" s="422"/>
      <c r="C466" s="422"/>
      <c r="D466" s="422"/>
      <c r="E466" s="422"/>
      <c r="F466" s="422"/>
      <c r="G466" s="422"/>
      <c r="H466" s="422"/>
      <c r="I466" s="422"/>
      <c r="J466" s="422"/>
      <c r="K466" s="422"/>
      <c r="L466" s="422"/>
      <c r="M466" s="422"/>
      <c r="N466" s="422"/>
      <c r="O466" s="422"/>
      <c r="P466" s="422"/>
      <c r="Q466" s="422"/>
      <c r="R466" s="422"/>
      <c r="S466" s="422"/>
      <c r="T466" s="422"/>
      <c r="U466" s="422"/>
      <c r="V466" s="422"/>
      <c r="W466" s="422"/>
      <c r="X466" s="422"/>
      <c r="Y466" s="422"/>
      <c r="Z466" s="422"/>
    </row>
    <row r="467" spans="1:26" ht="15" thickBot="1">
      <c r="A467" s="422"/>
      <c r="B467" s="422"/>
      <c r="C467" s="422"/>
      <c r="D467" s="422"/>
      <c r="E467" s="422"/>
      <c r="F467" s="422"/>
      <c r="G467" s="422"/>
      <c r="H467" s="422"/>
      <c r="I467" s="422"/>
      <c r="J467" s="422"/>
      <c r="K467" s="422"/>
      <c r="L467" s="422"/>
      <c r="M467" s="422"/>
      <c r="N467" s="422"/>
      <c r="O467" s="422"/>
      <c r="P467" s="422"/>
      <c r="Q467" s="422"/>
      <c r="R467" s="422"/>
      <c r="S467" s="422"/>
      <c r="T467" s="422"/>
      <c r="U467" s="422"/>
      <c r="V467" s="422"/>
      <c r="W467" s="422"/>
      <c r="X467" s="422"/>
      <c r="Y467" s="422"/>
      <c r="Z467" s="422"/>
    </row>
    <row r="468" spans="1:26" ht="15" thickBot="1">
      <c r="A468" s="422"/>
      <c r="B468" s="422"/>
      <c r="C468" s="422"/>
      <c r="D468" s="422"/>
      <c r="E468" s="422"/>
      <c r="F468" s="422"/>
      <c r="G468" s="422"/>
      <c r="H468" s="422"/>
      <c r="I468" s="422"/>
      <c r="J468" s="422"/>
      <c r="K468" s="422"/>
      <c r="L468" s="422"/>
      <c r="M468" s="422"/>
      <c r="N468" s="422"/>
      <c r="O468" s="422"/>
      <c r="P468" s="422"/>
      <c r="Q468" s="422"/>
      <c r="R468" s="422"/>
      <c r="S468" s="422"/>
      <c r="T468" s="422"/>
      <c r="U468" s="422"/>
      <c r="V468" s="422"/>
      <c r="W468" s="422"/>
      <c r="X468" s="422"/>
      <c r="Y468" s="422"/>
      <c r="Z468" s="422"/>
    </row>
    <row r="469" spans="1:26" ht="15" thickBot="1">
      <c r="A469" s="422"/>
      <c r="B469" s="422"/>
      <c r="C469" s="422"/>
      <c r="D469" s="422"/>
      <c r="E469" s="422"/>
      <c r="F469" s="422"/>
      <c r="G469" s="422"/>
      <c r="H469" s="422"/>
      <c r="I469" s="422"/>
      <c r="J469" s="422"/>
      <c r="K469" s="422"/>
      <c r="L469" s="422"/>
      <c r="M469" s="422"/>
      <c r="N469" s="422"/>
      <c r="O469" s="422"/>
      <c r="P469" s="422"/>
      <c r="Q469" s="422"/>
      <c r="R469" s="422"/>
      <c r="S469" s="422"/>
      <c r="T469" s="422"/>
      <c r="U469" s="422"/>
      <c r="V469" s="422"/>
      <c r="W469" s="422"/>
      <c r="X469" s="422"/>
      <c r="Y469" s="422"/>
      <c r="Z469" s="422"/>
    </row>
    <row r="470" spans="1:26" ht="15" thickBot="1">
      <c r="A470" s="422"/>
      <c r="B470" s="422"/>
      <c r="C470" s="422"/>
      <c r="D470" s="422"/>
      <c r="E470" s="422"/>
      <c r="F470" s="422"/>
      <c r="G470" s="422"/>
      <c r="H470" s="422"/>
      <c r="I470" s="422"/>
      <c r="J470" s="422"/>
      <c r="K470" s="422"/>
      <c r="L470" s="422"/>
      <c r="M470" s="422"/>
      <c r="N470" s="422"/>
      <c r="O470" s="422"/>
      <c r="P470" s="422"/>
      <c r="Q470" s="422"/>
      <c r="R470" s="422"/>
      <c r="S470" s="422"/>
      <c r="T470" s="422"/>
      <c r="U470" s="422"/>
      <c r="V470" s="422"/>
      <c r="W470" s="422"/>
      <c r="X470" s="422"/>
      <c r="Y470" s="422"/>
      <c r="Z470" s="422"/>
    </row>
    <row r="471" spans="1:26" ht="15" thickBot="1">
      <c r="A471" s="422"/>
      <c r="B471" s="422"/>
      <c r="C471" s="422"/>
      <c r="D471" s="422"/>
      <c r="E471" s="422"/>
      <c r="F471" s="422"/>
      <c r="G471" s="422"/>
      <c r="H471" s="422"/>
      <c r="I471" s="422"/>
      <c r="J471" s="422"/>
      <c r="K471" s="422"/>
      <c r="L471" s="422"/>
      <c r="M471" s="422"/>
      <c r="N471" s="422"/>
      <c r="O471" s="422"/>
      <c r="P471" s="422"/>
      <c r="Q471" s="422"/>
      <c r="R471" s="422"/>
      <c r="S471" s="422"/>
      <c r="T471" s="422"/>
      <c r="U471" s="422"/>
      <c r="V471" s="422"/>
      <c r="W471" s="422"/>
      <c r="X471" s="422"/>
      <c r="Y471" s="422"/>
      <c r="Z471" s="422"/>
    </row>
    <row r="472" spans="1:26" ht="15" thickBot="1">
      <c r="A472" s="422"/>
      <c r="B472" s="422"/>
      <c r="C472" s="422"/>
      <c r="D472" s="422"/>
      <c r="E472" s="422"/>
      <c r="F472" s="422"/>
      <c r="G472" s="422"/>
      <c r="H472" s="422"/>
      <c r="I472" s="422"/>
      <c r="J472" s="422"/>
      <c r="K472" s="422"/>
      <c r="L472" s="422"/>
      <c r="M472" s="422"/>
      <c r="N472" s="422"/>
      <c r="O472" s="422"/>
      <c r="P472" s="422"/>
      <c r="Q472" s="422"/>
      <c r="R472" s="422"/>
      <c r="S472" s="422"/>
      <c r="T472" s="422"/>
      <c r="U472" s="422"/>
      <c r="V472" s="422"/>
      <c r="W472" s="422"/>
      <c r="X472" s="422"/>
      <c r="Y472" s="422"/>
      <c r="Z472" s="422"/>
    </row>
    <row r="473" spans="1:26" ht="15" thickBot="1">
      <c r="A473" s="422"/>
      <c r="B473" s="422"/>
      <c r="C473" s="422"/>
      <c r="D473" s="422"/>
      <c r="E473" s="422"/>
      <c r="F473" s="422"/>
      <c r="G473" s="422"/>
      <c r="H473" s="422"/>
      <c r="I473" s="422"/>
      <c r="J473" s="422"/>
      <c r="K473" s="422"/>
      <c r="L473" s="422"/>
      <c r="M473" s="422"/>
      <c r="N473" s="422"/>
      <c r="O473" s="422"/>
      <c r="P473" s="422"/>
      <c r="Q473" s="422"/>
      <c r="R473" s="422"/>
      <c r="S473" s="422"/>
      <c r="T473" s="422"/>
      <c r="U473" s="422"/>
      <c r="V473" s="422"/>
      <c r="W473" s="422"/>
      <c r="X473" s="422"/>
      <c r="Y473" s="422"/>
      <c r="Z473" s="422"/>
    </row>
    <row r="474" spans="1:26" ht="15" thickBot="1">
      <c r="A474" s="422"/>
      <c r="B474" s="422"/>
      <c r="C474" s="422"/>
      <c r="D474" s="422"/>
      <c r="E474" s="422"/>
      <c r="F474" s="422"/>
      <c r="G474" s="422"/>
      <c r="H474" s="422"/>
      <c r="I474" s="422"/>
      <c r="J474" s="422"/>
      <c r="K474" s="422"/>
      <c r="L474" s="422"/>
      <c r="M474" s="422"/>
      <c r="N474" s="422"/>
      <c r="O474" s="422"/>
      <c r="P474" s="422"/>
      <c r="Q474" s="422"/>
      <c r="R474" s="422"/>
      <c r="S474" s="422"/>
      <c r="T474" s="422"/>
      <c r="U474" s="422"/>
      <c r="V474" s="422"/>
      <c r="W474" s="422"/>
      <c r="X474" s="422"/>
      <c r="Y474" s="422"/>
      <c r="Z474" s="422"/>
    </row>
    <row r="475" spans="1:26" ht="15" thickBot="1">
      <c r="A475" s="422"/>
      <c r="B475" s="422"/>
      <c r="C475" s="422"/>
      <c r="D475" s="422"/>
      <c r="E475" s="422"/>
      <c r="F475" s="422"/>
      <c r="G475" s="422"/>
      <c r="H475" s="422"/>
      <c r="I475" s="422"/>
      <c r="J475" s="422"/>
      <c r="K475" s="422"/>
      <c r="L475" s="422"/>
      <c r="M475" s="422"/>
      <c r="N475" s="422"/>
      <c r="O475" s="422"/>
      <c r="P475" s="422"/>
      <c r="Q475" s="422"/>
      <c r="R475" s="422"/>
      <c r="S475" s="422"/>
      <c r="T475" s="422"/>
      <c r="U475" s="422"/>
      <c r="V475" s="422"/>
      <c r="W475" s="422"/>
      <c r="X475" s="422"/>
      <c r="Y475" s="422"/>
      <c r="Z475" s="422"/>
    </row>
    <row r="476" spans="1:26" ht="15" thickBot="1">
      <c r="A476" s="422"/>
      <c r="B476" s="422"/>
      <c r="C476" s="422"/>
      <c r="D476" s="422"/>
      <c r="E476" s="422"/>
      <c r="F476" s="422"/>
      <c r="G476" s="422"/>
      <c r="H476" s="422"/>
      <c r="I476" s="422"/>
      <c r="J476" s="422"/>
      <c r="K476" s="422"/>
      <c r="L476" s="422"/>
      <c r="M476" s="422"/>
      <c r="N476" s="422"/>
      <c r="O476" s="422"/>
      <c r="P476" s="422"/>
      <c r="Q476" s="422"/>
      <c r="R476" s="422"/>
      <c r="S476" s="422"/>
      <c r="T476" s="422"/>
      <c r="U476" s="422"/>
      <c r="V476" s="422"/>
      <c r="W476" s="422"/>
      <c r="X476" s="422"/>
      <c r="Y476" s="422"/>
      <c r="Z476" s="422"/>
    </row>
    <row r="477" spans="1:26" ht="15" thickBot="1">
      <c r="A477" s="422"/>
      <c r="B477" s="422"/>
      <c r="C477" s="422"/>
      <c r="D477" s="422"/>
      <c r="E477" s="422"/>
      <c r="F477" s="422"/>
      <c r="G477" s="422"/>
      <c r="H477" s="422"/>
      <c r="I477" s="422"/>
      <c r="J477" s="422"/>
      <c r="K477" s="422"/>
      <c r="L477" s="422"/>
      <c r="M477" s="422"/>
      <c r="N477" s="422"/>
      <c r="O477" s="422"/>
      <c r="P477" s="422"/>
      <c r="Q477" s="422"/>
      <c r="R477" s="422"/>
      <c r="S477" s="422"/>
      <c r="T477" s="422"/>
      <c r="U477" s="422"/>
      <c r="V477" s="422"/>
      <c r="W477" s="422"/>
      <c r="X477" s="422"/>
      <c r="Y477" s="422"/>
      <c r="Z477" s="422"/>
    </row>
    <row r="478" spans="1:26" ht="15" thickBot="1">
      <c r="A478" s="422"/>
      <c r="B478" s="422"/>
      <c r="C478" s="422"/>
      <c r="D478" s="422"/>
      <c r="E478" s="422"/>
      <c r="F478" s="422"/>
      <c r="G478" s="422"/>
      <c r="H478" s="422"/>
      <c r="I478" s="422"/>
      <c r="J478" s="422"/>
      <c r="K478" s="422"/>
      <c r="L478" s="422"/>
      <c r="M478" s="422"/>
      <c r="N478" s="422"/>
      <c r="O478" s="422"/>
      <c r="P478" s="422"/>
      <c r="Q478" s="422"/>
      <c r="R478" s="422"/>
      <c r="S478" s="422"/>
      <c r="T478" s="422"/>
      <c r="U478" s="422"/>
      <c r="V478" s="422"/>
      <c r="W478" s="422"/>
      <c r="X478" s="422"/>
      <c r="Y478" s="422"/>
      <c r="Z478" s="422"/>
    </row>
    <row r="479" spans="1:26" ht="15" thickBot="1">
      <c r="A479" s="422"/>
      <c r="B479" s="422"/>
      <c r="C479" s="422"/>
      <c r="D479" s="422"/>
      <c r="E479" s="422"/>
      <c r="F479" s="422"/>
      <c r="G479" s="422"/>
      <c r="H479" s="422"/>
      <c r="I479" s="422"/>
      <c r="J479" s="422"/>
      <c r="K479" s="422"/>
      <c r="L479" s="422"/>
      <c r="M479" s="422"/>
      <c r="N479" s="422"/>
      <c r="O479" s="422"/>
      <c r="P479" s="422"/>
      <c r="Q479" s="422"/>
      <c r="R479" s="422"/>
      <c r="S479" s="422"/>
      <c r="T479" s="422"/>
      <c r="U479" s="422"/>
      <c r="V479" s="422"/>
      <c r="W479" s="422"/>
      <c r="X479" s="422"/>
      <c r="Y479" s="422"/>
      <c r="Z479" s="422"/>
    </row>
    <row r="480" spans="1:26" ht="15" thickBot="1">
      <c r="A480" s="422"/>
      <c r="B480" s="422"/>
      <c r="C480" s="422"/>
      <c r="D480" s="422"/>
      <c r="E480" s="422"/>
      <c r="F480" s="422"/>
      <c r="G480" s="422"/>
      <c r="H480" s="422"/>
      <c r="I480" s="422"/>
      <c r="J480" s="422"/>
      <c r="K480" s="422"/>
      <c r="L480" s="422"/>
      <c r="M480" s="422"/>
      <c r="N480" s="422"/>
      <c r="O480" s="422"/>
      <c r="P480" s="422"/>
      <c r="Q480" s="422"/>
      <c r="R480" s="422"/>
      <c r="S480" s="422"/>
      <c r="T480" s="422"/>
      <c r="U480" s="422"/>
      <c r="V480" s="422"/>
      <c r="W480" s="422"/>
      <c r="X480" s="422"/>
      <c r="Y480" s="422"/>
      <c r="Z480" s="422"/>
    </row>
    <row r="481" spans="1:26" ht="15" thickBot="1">
      <c r="A481" s="422"/>
      <c r="B481" s="422"/>
      <c r="C481" s="422"/>
      <c r="D481" s="422"/>
      <c r="E481" s="422"/>
      <c r="F481" s="422"/>
      <c r="G481" s="422"/>
      <c r="H481" s="422"/>
      <c r="I481" s="422"/>
      <c r="J481" s="422"/>
      <c r="K481" s="422"/>
      <c r="L481" s="422"/>
      <c r="M481" s="422"/>
      <c r="N481" s="422"/>
      <c r="O481" s="422"/>
      <c r="P481" s="422"/>
      <c r="Q481" s="422"/>
      <c r="R481" s="422"/>
      <c r="S481" s="422"/>
      <c r="T481" s="422"/>
      <c r="U481" s="422"/>
      <c r="V481" s="422"/>
      <c r="W481" s="422"/>
      <c r="X481" s="422"/>
      <c r="Y481" s="422"/>
      <c r="Z481" s="422"/>
    </row>
    <row r="482" spans="1:26" ht="15" thickBot="1">
      <c r="A482" s="422"/>
      <c r="B482" s="422"/>
      <c r="C482" s="422"/>
      <c r="D482" s="422"/>
      <c r="E482" s="422"/>
      <c r="F482" s="422"/>
      <c r="G482" s="422"/>
      <c r="H482" s="422"/>
      <c r="I482" s="422"/>
      <c r="J482" s="422"/>
      <c r="K482" s="422"/>
      <c r="L482" s="422"/>
      <c r="M482" s="422"/>
      <c r="N482" s="422"/>
      <c r="O482" s="422"/>
      <c r="P482" s="422"/>
      <c r="Q482" s="422"/>
      <c r="R482" s="422"/>
      <c r="S482" s="422"/>
      <c r="T482" s="422"/>
      <c r="U482" s="422"/>
      <c r="V482" s="422"/>
      <c r="W482" s="422"/>
      <c r="X482" s="422"/>
      <c r="Y482" s="422"/>
      <c r="Z482" s="422"/>
    </row>
    <row r="483" spans="1:26" ht="15" thickBot="1">
      <c r="A483" s="422"/>
      <c r="B483" s="422"/>
      <c r="C483" s="422"/>
      <c r="D483" s="422"/>
      <c r="E483" s="422"/>
      <c r="F483" s="422"/>
      <c r="G483" s="422"/>
      <c r="H483" s="422"/>
      <c r="I483" s="422"/>
      <c r="J483" s="422"/>
      <c r="K483" s="422"/>
      <c r="L483" s="422"/>
      <c r="M483" s="422"/>
      <c r="N483" s="422"/>
      <c r="O483" s="422"/>
      <c r="P483" s="422"/>
      <c r="Q483" s="422"/>
      <c r="R483" s="422"/>
      <c r="S483" s="422"/>
      <c r="T483" s="422"/>
      <c r="U483" s="422"/>
      <c r="V483" s="422"/>
      <c r="W483" s="422"/>
      <c r="X483" s="422"/>
      <c r="Y483" s="422"/>
      <c r="Z483" s="422"/>
    </row>
    <row r="484" spans="1:26" ht="15" thickBot="1">
      <c r="A484" s="422"/>
      <c r="B484" s="422"/>
      <c r="C484" s="422"/>
      <c r="D484" s="422"/>
      <c r="E484" s="422"/>
      <c r="F484" s="422"/>
      <c r="G484" s="422"/>
      <c r="H484" s="422"/>
      <c r="I484" s="422"/>
      <c r="J484" s="422"/>
      <c r="K484" s="422"/>
      <c r="L484" s="422"/>
      <c r="M484" s="422"/>
      <c r="N484" s="422"/>
      <c r="O484" s="422"/>
      <c r="P484" s="422"/>
      <c r="Q484" s="422"/>
      <c r="R484" s="422"/>
      <c r="S484" s="422"/>
      <c r="T484" s="422"/>
      <c r="U484" s="422"/>
      <c r="V484" s="422"/>
      <c r="W484" s="422"/>
      <c r="X484" s="422"/>
      <c r="Y484" s="422"/>
      <c r="Z484" s="422"/>
    </row>
    <row r="485" spans="1:26" ht="15" thickBot="1">
      <c r="A485" s="422"/>
      <c r="B485" s="422"/>
      <c r="C485" s="422"/>
      <c r="D485" s="422"/>
      <c r="E485" s="422"/>
      <c r="F485" s="422"/>
      <c r="G485" s="422"/>
      <c r="H485" s="422"/>
      <c r="I485" s="422"/>
      <c r="J485" s="422"/>
      <c r="K485" s="422"/>
      <c r="L485" s="422"/>
      <c r="M485" s="422"/>
      <c r="N485" s="422"/>
      <c r="O485" s="422"/>
      <c r="P485" s="422"/>
      <c r="Q485" s="422"/>
      <c r="R485" s="422"/>
      <c r="S485" s="422"/>
      <c r="T485" s="422"/>
      <c r="U485" s="422"/>
      <c r="V485" s="422"/>
      <c r="W485" s="422"/>
      <c r="X485" s="422"/>
      <c r="Y485" s="422"/>
      <c r="Z485" s="422"/>
    </row>
    <row r="486" spans="1:26" ht="15" thickBot="1">
      <c r="A486" s="422"/>
      <c r="B486" s="422"/>
      <c r="C486" s="422"/>
      <c r="D486" s="422"/>
      <c r="E486" s="422"/>
      <c r="F486" s="422"/>
      <c r="G486" s="422"/>
      <c r="H486" s="422"/>
      <c r="I486" s="422"/>
      <c r="J486" s="422"/>
      <c r="K486" s="422"/>
      <c r="L486" s="422"/>
      <c r="M486" s="422"/>
      <c r="N486" s="422"/>
      <c r="O486" s="422"/>
      <c r="P486" s="422"/>
      <c r="Q486" s="422"/>
      <c r="R486" s="422"/>
      <c r="S486" s="422"/>
      <c r="T486" s="422"/>
      <c r="U486" s="422"/>
      <c r="V486" s="422"/>
      <c r="W486" s="422"/>
      <c r="X486" s="422"/>
      <c r="Y486" s="422"/>
      <c r="Z486" s="422"/>
    </row>
    <row r="487" spans="1:26" ht="15" thickBot="1">
      <c r="A487" s="422"/>
      <c r="B487" s="422"/>
      <c r="C487" s="422"/>
      <c r="D487" s="422"/>
      <c r="E487" s="422"/>
      <c r="F487" s="422"/>
      <c r="G487" s="422"/>
      <c r="H487" s="422"/>
      <c r="I487" s="422"/>
      <c r="J487" s="422"/>
      <c r="K487" s="422"/>
      <c r="L487" s="422"/>
      <c r="M487" s="422"/>
      <c r="N487" s="422"/>
      <c r="O487" s="422"/>
      <c r="P487" s="422"/>
      <c r="Q487" s="422"/>
      <c r="R487" s="422"/>
      <c r="S487" s="422"/>
      <c r="T487" s="422"/>
      <c r="U487" s="422"/>
      <c r="V487" s="422"/>
      <c r="W487" s="422"/>
      <c r="X487" s="422"/>
      <c r="Y487" s="422"/>
      <c r="Z487" s="422"/>
    </row>
    <row r="488" spans="1:26" ht="15" thickBot="1">
      <c r="A488" s="422"/>
      <c r="B488" s="422"/>
      <c r="C488" s="422"/>
      <c r="D488" s="422"/>
      <c r="E488" s="422"/>
      <c r="F488" s="422"/>
      <c r="G488" s="422"/>
      <c r="H488" s="422"/>
      <c r="I488" s="422"/>
      <c r="J488" s="422"/>
      <c r="K488" s="422"/>
      <c r="L488" s="422"/>
      <c r="M488" s="422"/>
      <c r="N488" s="422"/>
      <c r="O488" s="422"/>
      <c r="P488" s="422"/>
      <c r="Q488" s="422"/>
      <c r="R488" s="422"/>
      <c r="S488" s="422"/>
      <c r="T488" s="422"/>
      <c r="U488" s="422"/>
      <c r="V488" s="422"/>
      <c r="W488" s="422"/>
      <c r="X488" s="422"/>
      <c r="Y488" s="422"/>
      <c r="Z488" s="422"/>
    </row>
    <row r="489" spans="1:26" ht="15" thickBot="1">
      <c r="A489" s="422"/>
      <c r="B489" s="422"/>
      <c r="C489" s="422"/>
      <c r="D489" s="422"/>
      <c r="E489" s="422"/>
      <c r="F489" s="422"/>
      <c r="G489" s="422"/>
      <c r="H489" s="422"/>
      <c r="I489" s="422"/>
      <c r="J489" s="422"/>
      <c r="K489" s="422"/>
      <c r="L489" s="422"/>
      <c r="M489" s="422"/>
      <c r="N489" s="422"/>
      <c r="O489" s="422"/>
      <c r="P489" s="422"/>
      <c r="Q489" s="422"/>
      <c r="R489" s="422"/>
      <c r="S489" s="422"/>
      <c r="T489" s="422"/>
      <c r="U489" s="422"/>
      <c r="V489" s="422"/>
      <c r="W489" s="422"/>
      <c r="X489" s="422"/>
      <c r="Y489" s="422"/>
      <c r="Z489" s="422"/>
    </row>
    <row r="490" spans="1:26" ht="15" thickBot="1">
      <c r="A490" s="422"/>
      <c r="B490" s="422"/>
      <c r="C490" s="422"/>
      <c r="D490" s="422"/>
      <c r="E490" s="422"/>
      <c r="F490" s="422"/>
      <c r="G490" s="422"/>
      <c r="H490" s="422"/>
      <c r="I490" s="422"/>
      <c r="J490" s="422"/>
      <c r="K490" s="422"/>
      <c r="L490" s="422"/>
      <c r="M490" s="422"/>
      <c r="N490" s="422"/>
      <c r="O490" s="422"/>
      <c r="P490" s="422"/>
      <c r="Q490" s="422"/>
      <c r="R490" s="422"/>
      <c r="S490" s="422"/>
      <c r="T490" s="422"/>
      <c r="U490" s="422"/>
      <c r="V490" s="422"/>
      <c r="W490" s="422"/>
      <c r="X490" s="422"/>
      <c r="Y490" s="422"/>
      <c r="Z490" s="422"/>
    </row>
    <row r="491" spans="1:26" ht="15" thickBot="1">
      <c r="A491" s="422"/>
      <c r="B491" s="422"/>
      <c r="C491" s="422"/>
      <c r="D491" s="422"/>
      <c r="E491" s="422"/>
      <c r="F491" s="422"/>
      <c r="G491" s="422"/>
      <c r="H491" s="422"/>
      <c r="I491" s="422"/>
      <c r="J491" s="422"/>
      <c r="K491" s="422"/>
      <c r="L491" s="422"/>
      <c r="M491" s="422"/>
      <c r="N491" s="422"/>
      <c r="O491" s="422"/>
      <c r="P491" s="422"/>
      <c r="Q491" s="422"/>
      <c r="R491" s="422"/>
      <c r="S491" s="422"/>
      <c r="T491" s="422"/>
      <c r="U491" s="422"/>
      <c r="V491" s="422"/>
      <c r="W491" s="422"/>
      <c r="X491" s="422"/>
      <c r="Y491" s="422"/>
      <c r="Z491" s="422"/>
    </row>
    <row r="492" spans="1:26" ht="15" thickBot="1">
      <c r="A492" s="422"/>
      <c r="B492" s="422"/>
      <c r="C492" s="422"/>
      <c r="D492" s="422"/>
      <c r="E492" s="422"/>
      <c r="F492" s="422"/>
      <c r="G492" s="422"/>
      <c r="H492" s="422"/>
      <c r="I492" s="422"/>
      <c r="J492" s="422"/>
      <c r="K492" s="422"/>
      <c r="L492" s="422"/>
      <c r="M492" s="422"/>
      <c r="N492" s="422"/>
      <c r="O492" s="422"/>
      <c r="P492" s="422"/>
      <c r="Q492" s="422"/>
      <c r="R492" s="422"/>
      <c r="S492" s="422"/>
      <c r="T492" s="422"/>
      <c r="U492" s="422"/>
      <c r="V492" s="422"/>
      <c r="W492" s="422"/>
      <c r="X492" s="422"/>
      <c r="Y492" s="422"/>
      <c r="Z492" s="422"/>
    </row>
    <row r="493" spans="1:26" ht="15" thickBot="1">
      <c r="A493" s="422"/>
      <c r="B493" s="422"/>
      <c r="C493" s="422"/>
      <c r="D493" s="422"/>
      <c r="E493" s="422"/>
      <c r="F493" s="422"/>
      <c r="G493" s="422"/>
      <c r="H493" s="422"/>
      <c r="I493" s="422"/>
      <c r="J493" s="422"/>
      <c r="K493" s="422"/>
      <c r="L493" s="422"/>
      <c r="M493" s="422"/>
      <c r="N493" s="422"/>
      <c r="O493" s="422"/>
      <c r="P493" s="422"/>
      <c r="Q493" s="422"/>
      <c r="R493" s="422"/>
      <c r="S493" s="422"/>
      <c r="T493" s="422"/>
      <c r="U493" s="422"/>
      <c r="V493" s="422"/>
      <c r="W493" s="422"/>
      <c r="X493" s="422"/>
      <c r="Y493" s="422"/>
      <c r="Z493" s="422"/>
    </row>
    <row r="494" spans="1:26" ht="15" thickBot="1">
      <c r="A494" s="422"/>
      <c r="B494" s="422"/>
      <c r="C494" s="422"/>
      <c r="D494" s="422"/>
      <c r="E494" s="422"/>
      <c r="F494" s="422"/>
      <c r="G494" s="422"/>
      <c r="H494" s="422"/>
      <c r="I494" s="422"/>
      <c r="J494" s="422"/>
      <c r="K494" s="422"/>
      <c r="L494" s="422"/>
      <c r="M494" s="422"/>
      <c r="N494" s="422"/>
      <c r="O494" s="422"/>
      <c r="P494" s="422"/>
      <c r="Q494" s="422"/>
      <c r="R494" s="422"/>
      <c r="S494" s="422"/>
      <c r="T494" s="422"/>
      <c r="U494" s="422"/>
      <c r="V494" s="422"/>
      <c r="W494" s="422"/>
      <c r="X494" s="422"/>
      <c r="Y494" s="422"/>
      <c r="Z494" s="422"/>
    </row>
    <row r="495" spans="1:26" ht="15" thickBot="1">
      <c r="A495" s="422"/>
      <c r="B495" s="422"/>
      <c r="C495" s="422"/>
      <c r="D495" s="422"/>
      <c r="E495" s="422"/>
      <c r="F495" s="422"/>
      <c r="G495" s="422"/>
      <c r="H495" s="422"/>
      <c r="I495" s="422"/>
      <c r="J495" s="422"/>
      <c r="K495" s="422"/>
      <c r="L495" s="422"/>
      <c r="M495" s="422"/>
      <c r="N495" s="422"/>
      <c r="O495" s="422"/>
      <c r="P495" s="422"/>
      <c r="Q495" s="422"/>
      <c r="R495" s="422"/>
      <c r="S495" s="422"/>
      <c r="T495" s="422"/>
      <c r="U495" s="422"/>
      <c r="V495" s="422"/>
      <c r="W495" s="422"/>
      <c r="X495" s="422"/>
      <c r="Y495" s="422"/>
      <c r="Z495" s="422"/>
    </row>
    <row r="496" spans="1:26" ht="15" thickBot="1">
      <c r="A496" s="422"/>
      <c r="B496" s="422"/>
      <c r="C496" s="422"/>
      <c r="D496" s="422"/>
      <c r="E496" s="422"/>
      <c r="F496" s="422"/>
      <c r="G496" s="422"/>
      <c r="H496" s="422"/>
      <c r="I496" s="422"/>
      <c r="J496" s="422"/>
      <c r="K496" s="422"/>
      <c r="L496" s="422"/>
      <c r="M496" s="422"/>
      <c r="N496" s="422"/>
      <c r="O496" s="422"/>
      <c r="P496" s="422"/>
      <c r="Q496" s="422"/>
      <c r="R496" s="422"/>
      <c r="S496" s="422"/>
      <c r="T496" s="422"/>
      <c r="U496" s="422"/>
      <c r="V496" s="422"/>
      <c r="W496" s="422"/>
      <c r="X496" s="422"/>
      <c r="Y496" s="422"/>
      <c r="Z496" s="422"/>
    </row>
    <row r="497" spans="1:26" ht="15" thickBot="1">
      <c r="A497" s="422"/>
      <c r="B497" s="422"/>
      <c r="C497" s="422"/>
      <c r="D497" s="422"/>
      <c r="E497" s="422"/>
      <c r="F497" s="422"/>
      <c r="G497" s="422"/>
      <c r="H497" s="422"/>
      <c r="I497" s="422"/>
      <c r="J497" s="422"/>
      <c r="K497" s="422"/>
      <c r="L497" s="422"/>
      <c r="M497" s="422"/>
      <c r="N497" s="422"/>
      <c r="O497" s="422"/>
      <c r="P497" s="422"/>
      <c r="Q497" s="422"/>
      <c r="R497" s="422"/>
      <c r="S497" s="422"/>
      <c r="T497" s="422"/>
      <c r="U497" s="422"/>
      <c r="V497" s="422"/>
      <c r="W497" s="422"/>
      <c r="X497" s="422"/>
      <c r="Y497" s="422"/>
      <c r="Z497" s="422"/>
    </row>
    <row r="498" spans="1:26" ht="15" thickBot="1">
      <c r="A498" s="422"/>
      <c r="B498" s="422"/>
      <c r="C498" s="422"/>
      <c r="D498" s="422"/>
      <c r="E498" s="422"/>
      <c r="F498" s="422"/>
      <c r="G498" s="422"/>
      <c r="H498" s="422"/>
      <c r="I498" s="422"/>
      <c r="J498" s="422"/>
      <c r="K498" s="422"/>
      <c r="L498" s="422"/>
      <c r="M498" s="422"/>
      <c r="N498" s="422"/>
      <c r="O498" s="422"/>
      <c r="P498" s="422"/>
      <c r="Q498" s="422"/>
      <c r="R498" s="422"/>
      <c r="S498" s="422"/>
      <c r="T498" s="422"/>
      <c r="U498" s="422"/>
      <c r="V498" s="422"/>
      <c r="W498" s="422"/>
      <c r="X498" s="422"/>
      <c r="Y498" s="422"/>
      <c r="Z498" s="422"/>
    </row>
    <row r="499" spans="1:26" ht="15" thickBot="1">
      <c r="A499" s="422"/>
      <c r="B499" s="422"/>
      <c r="C499" s="422"/>
      <c r="D499" s="422"/>
      <c r="E499" s="422"/>
      <c r="F499" s="422"/>
      <c r="G499" s="422"/>
      <c r="H499" s="422"/>
      <c r="I499" s="422"/>
      <c r="J499" s="422"/>
      <c r="K499" s="422"/>
      <c r="L499" s="422"/>
      <c r="M499" s="422"/>
      <c r="N499" s="422"/>
      <c r="O499" s="422"/>
      <c r="P499" s="422"/>
      <c r="Q499" s="422"/>
      <c r="R499" s="422"/>
      <c r="S499" s="422"/>
      <c r="T499" s="422"/>
      <c r="U499" s="422"/>
      <c r="V499" s="422"/>
      <c r="W499" s="422"/>
      <c r="X499" s="422"/>
      <c r="Y499" s="422"/>
      <c r="Z499" s="422"/>
    </row>
    <row r="500" spans="1:26" ht="15" thickBot="1">
      <c r="A500" s="422"/>
      <c r="B500" s="422"/>
      <c r="C500" s="422"/>
      <c r="D500" s="422"/>
      <c r="E500" s="422"/>
      <c r="F500" s="422"/>
      <c r="G500" s="422"/>
      <c r="H500" s="422"/>
      <c r="I500" s="422"/>
      <c r="J500" s="422"/>
      <c r="K500" s="422"/>
      <c r="L500" s="422"/>
      <c r="M500" s="422"/>
      <c r="N500" s="422"/>
      <c r="O500" s="422"/>
      <c r="P500" s="422"/>
      <c r="Q500" s="422"/>
      <c r="R500" s="422"/>
      <c r="S500" s="422"/>
      <c r="T500" s="422"/>
      <c r="U500" s="422"/>
      <c r="V500" s="422"/>
      <c r="W500" s="422"/>
      <c r="X500" s="422"/>
      <c r="Y500" s="422"/>
      <c r="Z500" s="422"/>
    </row>
    <row r="501" spans="1:26" ht="15" thickBot="1">
      <c r="A501" s="422"/>
      <c r="B501" s="422"/>
      <c r="C501" s="422"/>
      <c r="D501" s="422"/>
      <c r="E501" s="422"/>
      <c r="F501" s="422"/>
      <c r="G501" s="422"/>
      <c r="H501" s="422"/>
      <c r="I501" s="422"/>
      <c r="J501" s="422"/>
      <c r="K501" s="422"/>
      <c r="L501" s="422"/>
      <c r="M501" s="422"/>
      <c r="N501" s="422"/>
      <c r="O501" s="422"/>
      <c r="P501" s="422"/>
      <c r="Q501" s="422"/>
      <c r="R501" s="422"/>
      <c r="S501" s="422"/>
      <c r="T501" s="422"/>
      <c r="U501" s="422"/>
      <c r="V501" s="422"/>
      <c r="W501" s="422"/>
      <c r="X501" s="422"/>
      <c r="Y501" s="422"/>
      <c r="Z501" s="422"/>
    </row>
    <row r="502" spans="1:26" ht="15" thickBot="1">
      <c r="A502" s="422"/>
      <c r="B502" s="422"/>
      <c r="C502" s="422"/>
      <c r="D502" s="422"/>
      <c r="E502" s="422"/>
      <c r="F502" s="422"/>
      <c r="G502" s="422"/>
      <c r="H502" s="422"/>
      <c r="I502" s="422"/>
      <c r="J502" s="422"/>
      <c r="K502" s="422"/>
      <c r="L502" s="422"/>
      <c r="M502" s="422"/>
      <c r="N502" s="422"/>
      <c r="O502" s="422"/>
      <c r="P502" s="422"/>
      <c r="Q502" s="422"/>
      <c r="R502" s="422"/>
      <c r="S502" s="422"/>
      <c r="T502" s="422"/>
      <c r="U502" s="422"/>
      <c r="V502" s="422"/>
      <c r="W502" s="422"/>
      <c r="X502" s="422"/>
      <c r="Y502" s="422"/>
      <c r="Z502" s="422"/>
    </row>
    <row r="503" spans="1:26" ht="15" thickBot="1">
      <c r="A503" s="422"/>
      <c r="B503" s="422"/>
      <c r="C503" s="422"/>
      <c r="D503" s="422"/>
      <c r="E503" s="422"/>
      <c r="F503" s="422"/>
      <c r="G503" s="422"/>
      <c r="H503" s="422"/>
      <c r="I503" s="422"/>
      <c r="J503" s="422"/>
      <c r="K503" s="422"/>
      <c r="L503" s="422"/>
      <c r="M503" s="422"/>
      <c r="N503" s="422"/>
      <c r="O503" s="422"/>
      <c r="P503" s="422"/>
      <c r="Q503" s="422"/>
      <c r="R503" s="422"/>
      <c r="S503" s="422"/>
      <c r="T503" s="422"/>
      <c r="U503" s="422"/>
      <c r="V503" s="422"/>
      <c r="W503" s="422"/>
      <c r="X503" s="422"/>
      <c r="Y503" s="422"/>
      <c r="Z503" s="422"/>
    </row>
    <row r="504" spans="1:26" ht="15" thickBot="1">
      <c r="A504" s="422"/>
      <c r="B504" s="422"/>
      <c r="C504" s="422"/>
      <c r="D504" s="422"/>
      <c r="E504" s="422"/>
      <c r="F504" s="422"/>
      <c r="G504" s="422"/>
      <c r="H504" s="422"/>
      <c r="I504" s="422"/>
      <c r="J504" s="422"/>
      <c r="K504" s="422"/>
      <c r="L504" s="422"/>
      <c r="M504" s="422"/>
      <c r="N504" s="422"/>
      <c r="O504" s="422"/>
      <c r="P504" s="422"/>
      <c r="Q504" s="422"/>
      <c r="R504" s="422"/>
      <c r="S504" s="422"/>
      <c r="T504" s="422"/>
      <c r="U504" s="422"/>
      <c r="V504" s="422"/>
      <c r="W504" s="422"/>
      <c r="X504" s="422"/>
      <c r="Y504" s="422"/>
      <c r="Z504" s="422"/>
    </row>
    <row r="505" spans="1:26" ht="15" thickBot="1">
      <c r="A505" s="422"/>
      <c r="B505" s="422"/>
      <c r="C505" s="422"/>
      <c r="D505" s="422"/>
      <c r="E505" s="422"/>
      <c r="F505" s="422"/>
      <c r="G505" s="422"/>
      <c r="H505" s="422"/>
      <c r="I505" s="422"/>
      <c r="J505" s="422"/>
      <c r="K505" s="422"/>
      <c r="L505" s="422"/>
      <c r="M505" s="422"/>
      <c r="N505" s="422"/>
      <c r="O505" s="422"/>
      <c r="P505" s="422"/>
      <c r="Q505" s="422"/>
      <c r="R505" s="422"/>
      <c r="S505" s="422"/>
      <c r="T505" s="422"/>
      <c r="U505" s="422"/>
      <c r="V505" s="422"/>
      <c r="W505" s="422"/>
      <c r="X505" s="422"/>
      <c r="Y505" s="422"/>
      <c r="Z505" s="422"/>
    </row>
    <row r="506" spans="1:26" ht="15" thickBot="1">
      <c r="A506" s="422"/>
      <c r="B506" s="422"/>
      <c r="C506" s="422"/>
      <c r="D506" s="422"/>
      <c r="E506" s="422"/>
      <c r="F506" s="422"/>
      <c r="G506" s="422"/>
      <c r="H506" s="422"/>
      <c r="I506" s="422"/>
      <c r="J506" s="422"/>
      <c r="K506" s="422"/>
      <c r="L506" s="422"/>
      <c r="M506" s="422"/>
      <c r="N506" s="422"/>
      <c r="O506" s="422"/>
      <c r="P506" s="422"/>
      <c r="Q506" s="422"/>
      <c r="R506" s="422"/>
      <c r="S506" s="422"/>
      <c r="T506" s="422"/>
      <c r="U506" s="422"/>
      <c r="V506" s="422"/>
      <c r="W506" s="422"/>
      <c r="X506" s="422"/>
      <c r="Y506" s="422"/>
      <c r="Z506" s="422"/>
    </row>
    <row r="507" spans="1:26" ht="15" thickBot="1">
      <c r="A507" s="422"/>
      <c r="B507" s="422"/>
      <c r="C507" s="422"/>
      <c r="D507" s="422"/>
      <c r="E507" s="422"/>
      <c r="F507" s="422"/>
      <c r="G507" s="422"/>
      <c r="H507" s="422"/>
      <c r="I507" s="422"/>
      <c r="J507" s="422"/>
      <c r="K507" s="422"/>
      <c r="L507" s="422"/>
      <c r="M507" s="422"/>
      <c r="N507" s="422"/>
      <c r="O507" s="422"/>
      <c r="P507" s="422"/>
      <c r="Q507" s="422"/>
      <c r="R507" s="422"/>
      <c r="S507" s="422"/>
      <c r="T507" s="422"/>
      <c r="U507" s="422"/>
      <c r="V507" s="422"/>
      <c r="W507" s="422"/>
      <c r="X507" s="422"/>
      <c r="Y507" s="422"/>
      <c r="Z507" s="422"/>
    </row>
    <row r="508" spans="1:26" ht="15" thickBot="1">
      <c r="A508" s="422"/>
      <c r="B508" s="422"/>
      <c r="C508" s="422"/>
      <c r="D508" s="422"/>
      <c r="E508" s="422"/>
      <c r="F508" s="422"/>
      <c r="G508" s="422"/>
      <c r="H508" s="422"/>
      <c r="I508" s="422"/>
      <c r="J508" s="422"/>
      <c r="K508" s="422"/>
      <c r="L508" s="422"/>
      <c r="M508" s="422"/>
      <c r="N508" s="422"/>
      <c r="O508" s="422"/>
      <c r="P508" s="422"/>
      <c r="Q508" s="422"/>
      <c r="R508" s="422"/>
      <c r="S508" s="422"/>
      <c r="T508" s="422"/>
      <c r="U508" s="422"/>
      <c r="V508" s="422"/>
      <c r="W508" s="422"/>
      <c r="X508" s="422"/>
      <c r="Y508" s="422"/>
      <c r="Z508" s="422"/>
    </row>
    <row r="509" spans="1:26" ht="15" thickBot="1">
      <c r="A509" s="422"/>
      <c r="B509" s="422"/>
      <c r="C509" s="422"/>
      <c r="D509" s="422"/>
      <c r="E509" s="422"/>
      <c r="F509" s="422"/>
      <c r="G509" s="422"/>
      <c r="H509" s="422"/>
      <c r="I509" s="422"/>
      <c r="J509" s="422"/>
      <c r="K509" s="422"/>
      <c r="L509" s="422"/>
      <c r="M509" s="422"/>
      <c r="N509" s="422"/>
      <c r="O509" s="422"/>
      <c r="P509" s="422"/>
      <c r="Q509" s="422"/>
      <c r="R509" s="422"/>
      <c r="S509" s="422"/>
      <c r="T509" s="422"/>
      <c r="U509" s="422"/>
      <c r="V509" s="422"/>
      <c r="W509" s="422"/>
      <c r="X509" s="422"/>
      <c r="Y509" s="422"/>
      <c r="Z509" s="422"/>
    </row>
    <row r="510" spans="1:26" ht="15" thickBot="1">
      <c r="A510" s="422"/>
      <c r="B510" s="422"/>
      <c r="C510" s="422"/>
      <c r="D510" s="422"/>
      <c r="E510" s="422"/>
      <c r="F510" s="422"/>
      <c r="G510" s="422"/>
      <c r="H510" s="422"/>
      <c r="I510" s="422"/>
      <c r="J510" s="422"/>
      <c r="K510" s="422"/>
      <c r="L510" s="422"/>
      <c r="M510" s="422"/>
      <c r="N510" s="422"/>
      <c r="O510" s="422"/>
      <c r="P510" s="422"/>
      <c r="Q510" s="422"/>
      <c r="R510" s="422"/>
      <c r="S510" s="422"/>
      <c r="T510" s="422"/>
      <c r="U510" s="422"/>
      <c r="V510" s="422"/>
      <c r="W510" s="422"/>
      <c r="X510" s="422"/>
      <c r="Y510" s="422"/>
      <c r="Z510" s="422"/>
    </row>
    <row r="511" spans="1:26" ht="15" thickBot="1">
      <c r="A511" s="422"/>
      <c r="B511" s="422"/>
      <c r="C511" s="422"/>
      <c r="D511" s="422"/>
      <c r="E511" s="422"/>
      <c r="F511" s="422"/>
      <c r="G511" s="422"/>
      <c r="H511" s="422"/>
      <c r="I511" s="422"/>
      <c r="J511" s="422"/>
      <c r="K511" s="422"/>
      <c r="L511" s="422"/>
      <c r="M511" s="422"/>
      <c r="N511" s="422"/>
      <c r="O511" s="422"/>
      <c r="P511" s="422"/>
      <c r="Q511" s="422"/>
      <c r="R511" s="422"/>
      <c r="S511" s="422"/>
      <c r="T511" s="422"/>
      <c r="U511" s="422"/>
      <c r="V511" s="422"/>
      <c r="W511" s="422"/>
      <c r="X511" s="422"/>
      <c r="Y511" s="422"/>
      <c r="Z511" s="422"/>
    </row>
    <row r="512" spans="1:26" ht="15" thickBot="1">
      <c r="A512" s="422"/>
      <c r="B512" s="422"/>
      <c r="C512" s="422"/>
      <c r="D512" s="422"/>
      <c r="E512" s="422"/>
      <c r="F512" s="422"/>
      <c r="G512" s="422"/>
      <c r="H512" s="422"/>
      <c r="I512" s="422"/>
      <c r="J512" s="422"/>
      <c r="K512" s="422"/>
      <c r="L512" s="422"/>
      <c r="M512" s="422"/>
      <c r="N512" s="422"/>
      <c r="O512" s="422"/>
      <c r="P512" s="422"/>
      <c r="Q512" s="422"/>
      <c r="R512" s="422"/>
      <c r="S512" s="422"/>
      <c r="T512" s="422"/>
      <c r="U512" s="422"/>
      <c r="V512" s="422"/>
      <c r="W512" s="422"/>
      <c r="X512" s="422"/>
      <c r="Y512" s="422"/>
      <c r="Z512" s="422"/>
    </row>
    <row r="513" spans="1:26" ht="15" thickBot="1">
      <c r="A513" s="422"/>
      <c r="B513" s="422"/>
      <c r="C513" s="422"/>
      <c r="D513" s="422"/>
      <c r="E513" s="422"/>
      <c r="F513" s="422"/>
      <c r="G513" s="422"/>
      <c r="H513" s="422"/>
      <c r="I513" s="422"/>
      <c r="J513" s="422"/>
      <c r="K513" s="422"/>
      <c r="L513" s="422"/>
      <c r="M513" s="422"/>
      <c r="N513" s="422"/>
      <c r="O513" s="422"/>
      <c r="P513" s="422"/>
      <c r="Q513" s="422"/>
      <c r="R513" s="422"/>
      <c r="S513" s="422"/>
      <c r="T513" s="422"/>
      <c r="U513" s="422"/>
      <c r="V513" s="422"/>
      <c r="W513" s="422"/>
      <c r="X513" s="422"/>
      <c r="Y513" s="422"/>
      <c r="Z513" s="422"/>
    </row>
    <row r="514" spans="1:26" ht="15" thickBot="1">
      <c r="A514" s="422"/>
      <c r="B514" s="422"/>
      <c r="C514" s="422"/>
      <c r="D514" s="422"/>
      <c r="E514" s="422"/>
      <c r="F514" s="422"/>
      <c r="G514" s="422"/>
      <c r="H514" s="422"/>
      <c r="I514" s="422"/>
      <c r="J514" s="422"/>
      <c r="K514" s="422"/>
      <c r="L514" s="422"/>
      <c r="M514" s="422"/>
      <c r="N514" s="422"/>
      <c r="O514" s="422"/>
      <c r="P514" s="422"/>
      <c r="Q514" s="422"/>
      <c r="R514" s="422"/>
      <c r="S514" s="422"/>
      <c r="T514" s="422"/>
      <c r="U514" s="422"/>
      <c r="V514" s="422"/>
      <c r="W514" s="422"/>
      <c r="X514" s="422"/>
      <c r="Y514" s="422"/>
      <c r="Z514" s="422"/>
    </row>
    <row r="515" spans="1:26" ht="15" thickBot="1">
      <c r="A515" s="422"/>
      <c r="B515" s="422"/>
      <c r="C515" s="422"/>
      <c r="D515" s="422"/>
      <c r="E515" s="422"/>
      <c r="F515" s="422"/>
      <c r="G515" s="422"/>
      <c r="H515" s="422"/>
      <c r="I515" s="422"/>
      <c r="J515" s="422"/>
      <c r="K515" s="422"/>
      <c r="L515" s="422"/>
      <c r="M515" s="422"/>
      <c r="N515" s="422"/>
      <c r="O515" s="422"/>
      <c r="P515" s="422"/>
      <c r="Q515" s="422"/>
      <c r="R515" s="422"/>
      <c r="S515" s="422"/>
      <c r="T515" s="422"/>
      <c r="U515" s="422"/>
      <c r="V515" s="422"/>
      <c r="W515" s="422"/>
      <c r="X515" s="422"/>
      <c r="Y515" s="422"/>
      <c r="Z515" s="422"/>
    </row>
    <row r="516" spans="1:26" ht="15" thickBot="1">
      <c r="A516" s="422"/>
      <c r="B516" s="422"/>
      <c r="C516" s="422"/>
      <c r="D516" s="422"/>
      <c r="E516" s="422"/>
      <c r="F516" s="422"/>
      <c r="G516" s="422"/>
      <c r="H516" s="422"/>
      <c r="I516" s="422"/>
      <c r="J516" s="422"/>
      <c r="K516" s="422"/>
      <c r="L516" s="422"/>
      <c r="M516" s="422"/>
      <c r="N516" s="422"/>
      <c r="O516" s="422"/>
      <c r="P516" s="422"/>
      <c r="Q516" s="422"/>
      <c r="R516" s="422"/>
      <c r="S516" s="422"/>
      <c r="T516" s="422"/>
      <c r="U516" s="422"/>
      <c r="V516" s="422"/>
      <c r="W516" s="422"/>
      <c r="X516" s="422"/>
      <c r="Y516" s="422"/>
      <c r="Z516" s="422"/>
    </row>
    <row r="517" spans="1:26" ht="15" thickBot="1">
      <c r="A517" s="422"/>
      <c r="B517" s="422"/>
      <c r="C517" s="422"/>
      <c r="D517" s="422"/>
      <c r="E517" s="422"/>
      <c r="F517" s="422"/>
      <c r="G517" s="422"/>
      <c r="H517" s="422"/>
      <c r="I517" s="422"/>
      <c r="J517" s="422"/>
      <c r="K517" s="422"/>
      <c r="L517" s="422"/>
      <c r="M517" s="422"/>
      <c r="N517" s="422"/>
      <c r="O517" s="422"/>
      <c r="P517" s="422"/>
      <c r="Q517" s="422"/>
      <c r="R517" s="422"/>
      <c r="S517" s="422"/>
      <c r="T517" s="422"/>
      <c r="U517" s="422"/>
      <c r="V517" s="422"/>
      <c r="W517" s="422"/>
      <c r="X517" s="422"/>
      <c r="Y517" s="422"/>
      <c r="Z517" s="422"/>
    </row>
    <row r="518" spans="1:26" ht="15" thickBot="1">
      <c r="A518" s="422"/>
      <c r="B518" s="422"/>
      <c r="C518" s="422"/>
      <c r="D518" s="422"/>
      <c r="E518" s="422"/>
      <c r="F518" s="422"/>
      <c r="G518" s="422"/>
      <c r="H518" s="422"/>
      <c r="I518" s="422"/>
      <c r="J518" s="422"/>
      <c r="K518" s="422"/>
      <c r="L518" s="422"/>
      <c r="M518" s="422"/>
      <c r="N518" s="422"/>
      <c r="O518" s="422"/>
      <c r="P518" s="422"/>
      <c r="Q518" s="422"/>
      <c r="R518" s="422"/>
      <c r="S518" s="422"/>
      <c r="T518" s="422"/>
      <c r="U518" s="422"/>
      <c r="V518" s="422"/>
      <c r="W518" s="422"/>
      <c r="X518" s="422"/>
      <c r="Y518" s="422"/>
      <c r="Z518" s="422"/>
    </row>
    <row r="519" spans="1:26" ht="15" thickBot="1">
      <c r="A519" s="422"/>
      <c r="B519" s="422"/>
      <c r="C519" s="422"/>
      <c r="D519" s="422"/>
      <c r="E519" s="422"/>
      <c r="F519" s="422"/>
      <c r="G519" s="422"/>
      <c r="H519" s="422"/>
      <c r="I519" s="422"/>
      <c r="J519" s="422"/>
      <c r="K519" s="422"/>
      <c r="L519" s="422"/>
      <c r="M519" s="422"/>
      <c r="N519" s="422"/>
      <c r="O519" s="422"/>
      <c r="P519" s="422"/>
      <c r="Q519" s="422"/>
      <c r="R519" s="422"/>
      <c r="S519" s="422"/>
      <c r="T519" s="422"/>
      <c r="U519" s="422"/>
      <c r="V519" s="422"/>
      <c r="W519" s="422"/>
      <c r="X519" s="422"/>
      <c r="Y519" s="422"/>
      <c r="Z519" s="422"/>
    </row>
    <row r="520" spans="1:26" ht="15" thickBot="1">
      <c r="A520" s="422"/>
      <c r="B520" s="422"/>
      <c r="C520" s="422"/>
      <c r="D520" s="422"/>
      <c r="E520" s="422"/>
      <c r="F520" s="422"/>
      <c r="G520" s="422"/>
      <c r="H520" s="422"/>
      <c r="I520" s="422"/>
      <c r="J520" s="422"/>
      <c r="K520" s="422"/>
      <c r="L520" s="422"/>
      <c r="M520" s="422"/>
      <c r="N520" s="422"/>
      <c r="O520" s="422"/>
      <c r="P520" s="422"/>
      <c r="Q520" s="422"/>
      <c r="R520" s="422"/>
      <c r="S520" s="422"/>
      <c r="T520" s="422"/>
      <c r="U520" s="422"/>
      <c r="V520" s="422"/>
      <c r="W520" s="422"/>
      <c r="X520" s="422"/>
      <c r="Y520" s="422"/>
      <c r="Z520" s="422"/>
    </row>
    <row r="521" spans="1:26" ht="15" thickBot="1">
      <c r="A521" s="422"/>
      <c r="B521" s="422"/>
      <c r="C521" s="422"/>
      <c r="D521" s="422"/>
      <c r="E521" s="422"/>
      <c r="F521" s="422"/>
      <c r="G521" s="422"/>
      <c r="H521" s="422"/>
      <c r="I521" s="422"/>
      <c r="J521" s="422"/>
      <c r="K521" s="422"/>
      <c r="L521" s="422"/>
      <c r="M521" s="422"/>
      <c r="N521" s="422"/>
      <c r="O521" s="422"/>
      <c r="P521" s="422"/>
      <c r="Q521" s="422"/>
      <c r="R521" s="422"/>
      <c r="S521" s="422"/>
      <c r="T521" s="422"/>
      <c r="U521" s="422"/>
      <c r="V521" s="422"/>
      <c r="W521" s="422"/>
      <c r="X521" s="422"/>
      <c r="Y521" s="422"/>
      <c r="Z521" s="422"/>
    </row>
    <row r="522" spans="1:26" ht="15" thickBot="1">
      <c r="A522" s="422"/>
      <c r="B522" s="422"/>
      <c r="C522" s="422"/>
      <c r="D522" s="422"/>
      <c r="E522" s="422"/>
      <c r="F522" s="422"/>
      <c r="G522" s="422"/>
      <c r="H522" s="422"/>
      <c r="I522" s="422"/>
      <c r="J522" s="422"/>
      <c r="K522" s="422"/>
      <c r="L522" s="422"/>
      <c r="M522" s="422"/>
      <c r="N522" s="422"/>
      <c r="O522" s="422"/>
      <c r="P522" s="422"/>
      <c r="Q522" s="422"/>
      <c r="R522" s="422"/>
      <c r="S522" s="422"/>
      <c r="T522" s="422"/>
      <c r="U522" s="422"/>
      <c r="V522" s="422"/>
      <c r="W522" s="422"/>
      <c r="X522" s="422"/>
      <c r="Y522" s="422"/>
      <c r="Z522" s="422"/>
    </row>
    <row r="523" spans="1:26" ht="15" thickBot="1">
      <c r="A523" s="422"/>
      <c r="B523" s="422"/>
      <c r="C523" s="422"/>
      <c r="D523" s="422"/>
      <c r="E523" s="422"/>
      <c r="F523" s="422"/>
      <c r="G523" s="422"/>
      <c r="H523" s="422"/>
      <c r="I523" s="422"/>
      <c r="J523" s="422"/>
      <c r="K523" s="422"/>
      <c r="L523" s="422"/>
      <c r="M523" s="422"/>
      <c r="N523" s="422"/>
      <c r="O523" s="422"/>
      <c r="P523" s="422"/>
      <c r="Q523" s="422"/>
      <c r="R523" s="422"/>
      <c r="S523" s="422"/>
      <c r="T523" s="422"/>
      <c r="U523" s="422"/>
      <c r="V523" s="422"/>
      <c r="W523" s="422"/>
      <c r="X523" s="422"/>
      <c r="Y523" s="422"/>
      <c r="Z523" s="422"/>
    </row>
    <row r="524" spans="1:26" ht="15" thickBot="1">
      <c r="A524" s="422"/>
      <c r="B524" s="422"/>
      <c r="C524" s="422"/>
      <c r="D524" s="422"/>
      <c r="E524" s="422"/>
      <c r="F524" s="422"/>
      <c r="G524" s="422"/>
      <c r="H524" s="422"/>
      <c r="I524" s="422"/>
      <c r="J524" s="422"/>
      <c r="K524" s="422"/>
      <c r="L524" s="422"/>
      <c r="M524" s="422"/>
      <c r="N524" s="422"/>
      <c r="O524" s="422"/>
      <c r="P524" s="422"/>
      <c r="Q524" s="422"/>
      <c r="R524" s="422"/>
      <c r="S524" s="422"/>
      <c r="T524" s="422"/>
      <c r="U524" s="422"/>
      <c r="V524" s="422"/>
      <c r="W524" s="422"/>
      <c r="X524" s="422"/>
      <c r="Y524" s="422"/>
      <c r="Z524" s="422"/>
    </row>
    <row r="525" spans="1:26" ht="15" thickBot="1">
      <c r="A525" s="422"/>
      <c r="B525" s="422"/>
      <c r="C525" s="422"/>
      <c r="D525" s="422"/>
      <c r="E525" s="422"/>
      <c r="F525" s="422"/>
      <c r="G525" s="422"/>
      <c r="H525" s="422"/>
      <c r="I525" s="422"/>
      <c r="J525" s="422"/>
      <c r="K525" s="422"/>
      <c r="L525" s="422"/>
      <c r="M525" s="422"/>
      <c r="N525" s="422"/>
      <c r="O525" s="422"/>
      <c r="P525" s="422"/>
      <c r="Q525" s="422"/>
      <c r="R525" s="422"/>
      <c r="S525" s="422"/>
      <c r="T525" s="422"/>
      <c r="U525" s="422"/>
      <c r="V525" s="422"/>
      <c r="W525" s="422"/>
      <c r="X525" s="422"/>
      <c r="Y525" s="422"/>
      <c r="Z525" s="422"/>
    </row>
    <row r="526" spans="1:26" ht="15" thickBot="1">
      <c r="A526" s="422"/>
      <c r="B526" s="422"/>
      <c r="C526" s="422"/>
      <c r="D526" s="422"/>
      <c r="E526" s="422"/>
      <c r="F526" s="422"/>
      <c r="G526" s="422"/>
      <c r="H526" s="422"/>
      <c r="I526" s="422"/>
      <c r="J526" s="422"/>
      <c r="K526" s="422"/>
      <c r="L526" s="422"/>
      <c r="M526" s="422"/>
      <c r="N526" s="422"/>
      <c r="O526" s="422"/>
      <c r="P526" s="422"/>
      <c r="Q526" s="422"/>
      <c r="R526" s="422"/>
      <c r="S526" s="422"/>
      <c r="T526" s="422"/>
      <c r="U526" s="422"/>
      <c r="V526" s="422"/>
      <c r="W526" s="422"/>
      <c r="X526" s="422"/>
      <c r="Y526" s="422"/>
      <c r="Z526" s="422"/>
    </row>
    <row r="527" spans="1:26" ht="15" thickBot="1">
      <c r="A527" s="422"/>
      <c r="B527" s="422"/>
      <c r="C527" s="422"/>
      <c r="D527" s="422"/>
      <c r="E527" s="422"/>
      <c r="F527" s="422"/>
      <c r="G527" s="422"/>
      <c r="H527" s="422"/>
      <c r="I527" s="422"/>
      <c r="J527" s="422"/>
      <c r="K527" s="422"/>
      <c r="L527" s="422"/>
      <c r="M527" s="422"/>
      <c r="N527" s="422"/>
      <c r="O527" s="422"/>
      <c r="P527" s="422"/>
      <c r="Q527" s="422"/>
      <c r="R527" s="422"/>
      <c r="S527" s="422"/>
      <c r="T527" s="422"/>
      <c r="U527" s="422"/>
      <c r="V527" s="422"/>
      <c r="W527" s="422"/>
      <c r="X527" s="422"/>
      <c r="Y527" s="422"/>
      <c r="Z527" s="422"/>
    </row>
    <row r="528" spans="1:26" ht="15" thickBot="1">
      <c r="A528" s="422"/>
      <c r="B528" s="422"/>
      <c r="C528" s="422"/>
      <c r="D528" s="422"/>
      <c r="E528" s="422"/>
      <c r="F528" s="422"/>
      <c r="G528" s="422"/>
      <c r="H528" s="422"/>
      <c r="I528" s="422"/>
      <c r="J528" s="422"/>
      <c r="K528" s="422"/>
      <c r="L528" s="422"/>
      <c r="M528" s="422"/>
      <c r="N528" s="422"/>
      <c r="O528" s="422"/>
      <c r="P528" s="422"/>
      <c r="Q528" s="422"/>
      <c r="R528" s="422"/>
      <c r="S528" s="422"/>
      <c r="T528" s="422"/>
      <c r="U528" s="422"/>
      <c r="V528" s="422"/>
      <c r="W528" s="422"/>
      <c r="X528" s="422"/>
      <c r="Y528" s="422"/>
      <c r="Z528" s="422"/>
    </row>
    <row r="529" spans="1:26" ht="15" thickBot="1">
      <c r="A529" s="422"/>
      <c r="B529" s="422"/>
      <c r="C529" s="422"/>
      <c r="D529" s="422"/>
      <c r="E529" s="422"/>
      <c r="F529" s="422"/>
      <c r="G529" s="422"/>
      <c r="H529" s="422"/>
      <c r="I529" s="422"/>
      <c r="J529" s="422"/>
      <c r="K529" s="422"/>
      <c r="L529" s="422"/>
      <c r="M529" s="422"/>
      <c r="N529" s="422"/>
      <c r="O529" s="422"/>
      <c r="P529" s="422"/>
      <c r="Q529" s="422"/>
      <c r="R529" s="422"/>
      <c r="S529" s="422"/>
      <c r="T529" s="422"/>
      <c r="U529" s="422"/>
      <c r="V529" s="422"/>
      <c r="W529" s="422"/>
      <c r="X529" s="422"/>
      <c r="Y529" s="422"/>
      <c r="Z529" s="422"/>
    </row>
    <row r="530" spans="1:26" ht="15" thickBot="1">
      <c r="A530" s="422"/>
      <c r="B530" s="422"/>
      <c r="C530" s="422"/>
      <c r="D530" s="422"/>
      <c r="E530" s="422"/>
      <c r="F530" s="422"/>
      <c r="G530" s="422"/>
      <c r="H530" s="422"/>
      <c r="I530" s="422"/>
      <c r="J530" s="422"/>
      <c r="K530" s="422"/>
      <c r="L530" s="422"/>
      <c r="M530" s="422"/>
      <c r="N530" s="422"/>
      <c r="O530" s="422"/>
      <c r="P530" s="422"/>
      <c r="Q530" s="422"/>
      <c r="R530" s="422"/>
      <c r="S530" s="422"/>
      <c r="T530" s="422"/>
      <c r="U530" s="422"/>
      <c r="V530" s="422"/>
      <c r="W530" s="422"/>
      <c r="X530" s="422"/>
      <c r="Y530" s="422"/>
      <c r="Z530" s="422"/>
    </row>
    <row r="531" spans="1:26" ht="15" thickBot="1">
      <c r="A531" s="422"/>
      <c r="B531" s="422"/>
      <c r="C531" s="422"/>
      <c r="D531" s="422"/>
      <c r="E531" s="422"/>
      <c r="F531" s="422"/>
      <c r="G531" s="422"/>
      <c r="H531" s="422"/>
      <c r="I531" s="422"/>
      <c r="J531" s="422"/>
      <c r="K531" s="422"/>
      <c r="L531" s="422"/>
      <c r="M531" s="422"/>
      <c r="N531" s="422"/>
      <c r="O531" s="422"/>
      <c r="P531" s="422"/>
      <c r="Q531" s="422"/>
      <c r="R531" s="422"/>
      <c r="S531" s="422"/>
      <c r="T531" s="422"/>
      <c r="U531" s="422"/>
      <c r="V531" s="422"/>
      <c r="W531" s="422"/>
      <c r="X531" s="422"/>
      <c r="Y531" s="422"/>
      <c r="Z531" s="422"/>
    </row>
    <row r="532" spans="1:26" ht="15" thickBot="1">
      <c r="A532" s="422"/>
      <c r="B532" s="422"/>
      <c r="C532" s="422"/>
      <c r="D532" s="422"/>
      <c r="E532" s="422"/>
      <c r="F532" s="422"/>
      <c r="G532" s="422"/>
      <c r="H532" s="422"/>
      <c r="I532" s="422"/>
      <c r="J532" s="422"/>
      <c r="K532" s="422"/>
      <c r="L532" s="422"/>
      <c r="M532" s="422"/>
      <c r="N532" s="422"/>
      <c r="O532" s="422"/>
      <c r="P532" s="422"/>
      <c r="Q532" s="422"/>
      <c r="R532" s="422"/>
      <c r="S532" s="422"/>
      <c r="T532" s="422"/>
      <c r="U532" s="422"/>
      <c r="V532" s="422"/>
      <c r="W532" s="422"/>
      <c r="X532" s="422"/>
      <c r="Y532" s="422"/>
      <c r="Z532" s="422"/>
    </row>
    <row r="533" spans="1:26" ht="15" thickBot="1">
      <c r="A533" s="422"/>
      <c r="B533" s="422"/>
      <c r="C533" s="422"/>
      <c r="D533" s="422"/>
      <c r="E533" s="422"/>
      <c r="F533" s="422"/>
      <c r="G533" s="422"/>
      <c r="H533" s="422"/>
      <c r="I533" s="422"/>
      <c r="J533" s="422"/>
      <c r="K533" s="422"/>
      <c r="L533" s="422"/>
      <c r="M533" s="422"/>
      <c r="N533" s="422"/>
      <c r="O533" s="422"/>
      <c r="P533" s="422"/>
      <c r="Q533" s="422"/>
      <c r="R533" s="422"/>
      <c r="S533" s="422"/>
      <c r="T533" s="422"/>
      <c r="U533" s="422"/>
      <c r="V533" s="422"/>
      <c r="W533" s="422"/>
      <c r="X533" s="422"/>
      <c r="Y533" s="422"/>
      <c r="Z533" s="422"/>
    </row>
    <row r="534" spans="1:26" ht="15" thickBot="1">
      <c r="A534" s="422"/>
      <c r="B534" s="422"/>
      <c r="C534" s="422"/>
      <c r="D534" s="422"/>
      <c r="E534" s="422"/>
      <c r="F534" s="422"/>
      <c r="G534" s="422"/>
      <c r="H534" s="422"/>
      <c r="I534" s="422"/>
      <c r="J534" s="422"/>
      <c r="K534" s="422"/>
      <c r="L534" s="422"/>
      <c r="M534" s="422"/>
      <c r="N534" s="422"/>
      <c r="O534" s="422"/>
      <c r="P534" s="422"/>
      <c r="Q534" s="422"/>
      <c r="R534" s="422"/>
      <c r="S534" s="422"/>
      <c r="T534" s="422"/>
      <c r="U534" s="422"/>
      <c r="V534" s="422"/>
      <c r="W534" s="422"/>
      <c r="X534" s="422"/>
      <c r="Y534" s="422"/>
      <c r="Z534" s="422"/>
    </row>
    <row r="535" spans="1:26" ht="15" thickBot="1">
      <c r="A535" s="422"/>
      <c r="B535" s="422"/>
      <c r="C535" s="422"/>
      <c r="D535" s="422"/>
      <c r="E535" s="422"/>
      <c r="F535" s="422"/>
      <c r="G535" s="422"/>
      <c r="H535" s="422"/>
      <c r="I535" s="422"/>
      <c r="J535" s="422"/>
      <c r="K535" s="422"/>
      <c r="L535" s="422"/>
      <c r="M535" s="422"/>
      <c r="N535" s="422"/>
      <c r="O535" s="422"/>
      <c r="P535" s="422"/>
      <c r="Q535" s="422"/>
      <c r="R535" s="422"/>
      <c r="S535" s="422"/>
      <c r="T535" s="422"/>
      <c r="U535" s="422"/>
      <c r="V535" s="422"/>
      <c r="W535" s="422"/>
      <c r="X535" s="422"/>
      <c r="Y535" s="422"/>
      <c r="Z535" s="422"/>
    </row>
    <row r="536" spans="1:26" ht="15" thickBot="1">
      <c r="A536" s="422"/>
      <c r="B536" s="422"/>
      <c r="C536" s="422"/>
      <c r="D536" s="422"/>
      <c r="E536" s="422"/>
      <c r="F536" s="422"/>
      <c r="G536" s="422"/>
      <c r="H536" s="422"/>
      <c r="I536" s="422"/>
      <c r="J536" s="422"/>
      <c r="K536" s="422"/>
      <c r="L536" s="422"/>
      <c r="M536" s="422"/>
      <c r="N536" s="422"/>
      <c r="O536" s="422"/>
      <c r="P536" s="422"/>
      <c r="Q536" s="422"/>
      <c r="R536" s="422"/>
      <c r="S536" s="422"/>
      <c r="T536" s="422"/>
      <c r="U536" s="422"/>
      <c r="V536" s="422"/>
      <c r="W536" s="422"/>
      <c r="X536" s="422"/>
      <c r="Y536" s="422"/>
      <c r="Z536" s="422"/>
    </row>
    <row r="537" spans="1:26" ht="15" thickBot="1">
      <c r="A537" s="422"/>
      <c r="B537" s="422"/>
      <c r="C537" s="422"/>
      <c r="D537" s="422"/>
      <c r="E537" s="422"/>
      <c r="F537" s="422"/>
      <c r="G537" s="422"/>
      <c r="H537" s="422"/>
      <c r="I537" s="422"/>
      <c r="J537" s="422"/>
      <c r="K537" s="422"/>
      <c r="L537" s="422"/>
      <c r="M537" s="422"/>
      <c r="N537" s="422"/>
      <c r="O537" s="422"/>
      <c r="P537" s="422"/>
      <c r="Q537" s="422"/>
      <c r="R537" s="422"/>
      <c r="S537" s="422"/>
      <c r="T537" s="422"/>
      <c r="U537" s="422"/>
      <c r="V537" s="422"/>
      <c r="W537" s="422"/>
      <c r="X537" s="422"/>
      <c r="Y537" s="422"/>
      <c r="Z537" s="422"/>
    </row>
    <row r="538" spans="1:26" ht="15" thickBot="1">
      <c r="A538" s="422"/>
      <c r="B538" s="422"/>
      <c r="C538" s="422"/>
      <c r="D538" s="422"/>
      <c r="E538" s="422"/>
      <c r="F538" s="422"/>
      <c r="G538" s="422"/>
      <c r="H538" s="422"/>
      <c r="I538" s="422"/>
      <c r="J538" s="422"/>
      <c r="K538" s="422"/>
      <c r="L538" s="422"/>
      <c r="M538" s="422"/>
      <c r="N538" s="422"/>
      <c r="O538" s="422"/>
      <c r="P538" s="422"/>
      <c r="Q538" s="422"/>
      <c r="R538" s="422"/>
      <c r="S538" s="422"/>
      <c r="T538" s="422"/>
      <c r="U538" s="422"/>
      <c r="V538" s="422"/>
      <c r="W538" s="422"/>
      <c r="X538" s="422"/>
      <c r="Y538" s="422"/>
      <c r="Z538" s="422"/>
    </row>
    <row r="539" spans="1:26" ht="15" thickBot="1">
      <c r="A539" s="422"/>
      <c r="B539" s="422"/>
      <c r="C539" s="422"/>
      <c r="D539" s="422"/>
      <c r="E539" s="422"/>
      <c r="F539" s="422"/>
      <c r="G539" s="422"/>
      <c r="H539" s="422"/>
      <c r="I539" s="422"/>
      <c r="J539" s="422"/>
      <c r="K539" s="422"/>
      <c r="L539" s="422"/>
      <c r="M539" s="422"/>
      <c r="N539" s="422"/>
      <c r="O539" s="422"/>
      <c r="P539" s="422"/>
      <c r="Q539" s="422"/>
      <c r="R539" s="422"/>
      <c r="S539" s="422"/>
      <c r="T539" s="422"/>
      <c r="U539" s="422"/>
      <c r="V539" s="422"/>
      <c r="W539" s="422"/>
      <c r="X539" s="422"/>
      <c r="Y539" s="422"/>
      <c r="Z539" s="422"/>
    </row>
    <row r="540" spans="1:26" ht="15" thickBot="1">
      <c r="A540" s="422"/>
      <c r="B540" s="422"/>
      <c r="C540" s="422"/>
      <c r="D540" s="422"/>
      <c r="E540" s="422"/>
      <c r="F540" s="422"/>
      <c r="G540" s="422"/>
      <c r="H540" s="422"/>
      <c r="I540" s="422"/>
      <c r="J540" s="422"/>
      <c r="K540" s="422"/>
      <c r="L540" s="422"/>
      <c r="M540" s="422"/>
      <c r="N540" s="422"/>
      <c r="O540" s="422"/>
      <c r="P540" s="422"/>
      <c r="Q540" s="422"/>
      <c r="R540" s="422"/>
      <c r="S540" s="422"/>
      <c r="T540" s="422"/>
      <c r="U540" s="422"/>
      <c r="V540" s="422"/>
      <c r="W540" s="422"/>
      <c r="X540" s="422"/>
      <c r="Y540" s="422"/>
      <c r="Z540" s="422"/>
    </row>
    <row r="541" spans="1:26" ht="15" thickBot="1">
      <c r="A541" s="422"/>
      <c r="B541" s="422"/>
      <c r="C541" s="422"/>
      <c r="D541" s="422"/>
      <c r="E541" s="422"/>
      <c r="F541" s="422"/>
      <c r="G541" s="422"/>
      <c r="H541" s="422"/>
      <c r="I541" s="422"/>
      <c r="J541" s="422"/>
      <c r="K541" s="422"/>
      <c r="L541" s="422"/>
      <c r="M541" s="422"/>
      <c r="N541" s="422"/>
      <c r="O541" s="422"/>
      <c r="P541" s="422"/>
      <c r="Q541" s="422"/>
      <c r="R541" s="422"/>
      <c r="S541" s="422"/>
      <c r="T541" s="422"/>
      <c r="U541" s="422"/>
      <c r="V541" s="422"/>
      <c r="W541" s="422"/>
      <c r="X541" s="422"/>
      <c r="Y541" s="422"/>
      <c r="Z541" s="422"/>
    </row>
    <row r="542" spans="1:26" ht="15" thickBot="1">
      <c r="A542" s="422"/>
      <c r="B542" s="422"/>
      <c r="C542" s="422"/>
      <c r="D542" s="422"/>
      <c r="E542" s="422"/>
      <c r="F542" s="422"/>
      <c r="G542" s="422"/>
      <c r="H542" s="422"/>
      <c r="I542" s="422"/>
      <c r="J542" s="422"/>
      <c r="K542" s="422"/>
      <c r="L542" s="422"/>
      <c r="M542" s="422"/>
      <c r="N542" s="422"/>
      <c r="O542" s="422"/>
      <c r="P542" s="422"/>
      <c r="Q542" s="422"/>
      <c r="R542" s="422"/>
      <c r="S542" s="422"/>
      <c r="T542" s="422"/>
      <c r="U542" s="422"/>
      <c r="V542" s="422"/>
      <c r="W542" s="422"/>
      <c r="X542" s="422"/>
      <c r="Y542" s="422"/>
      <c r="Z542" s="422"/>
    </row>
    <row r="543" spans="1:26" ht="15" thickBot="1">
      <c r="A543" s="422"/>
      <c r="B543" s="422"/>
      <c r="C543" s="422"/>
      <c r="D543" s="422"/>
      <c r="E543" s="422"/>
      <c r="F543" s="422"/>
      <c r="G543" s="422"/>
      <c r="H543" s="422"/>
      <c r="I543" s="422"/>
      <c r="J543" s="422"/>
      <c r="K543" s="422"/>
      <c r="L543" s="422"/>
      <c r="M543" s="422"/>
      <c r="N543" s="422"/>
      <c r="O543" s="422"/>
      <c r="P543" s="422"/>
      <c r="Q543" s="422"/>
      <c r="R543" s="422"/>
      <c r="S543" s="422"/>
      <c r="T543" s="422"/>
      <c r="U543" s="422"/>
      <c r="V543" s="422"/>
      <c r="W543" s="422"/>
      <c r="X543" s="422"/>
      <c r="Y543" s="422"/>
      <c r="Z543" s="422"/>
    </row>
    <row r="544" spans="1:26" ht="15" thickBot="1">
      <c r="A544" s="422"/>
      <c r="B544" s="422"/>
      <c r="C544" s="422"/>
      <c r="D544" s="422"/>
      <c r="E544" s="422"/>
      <c r="F544" s="422"/>
      <c r="G544" s="422"/>
      <c r="H544" s="422"/>
      <c r="I544" s="422"/>
      <c r="J544" s="422"/>
      <c r="K544" s="422"/>
      <c r="L544" s="422"/>
      <c r="M544" s="422"/>
      <c r="N544" s="422"/>
      <c r="O544" s="422"/>
      <c r="P544" s="422"/>
      <c r="Q544" s="422"/>
      <c r="R544" s="422"/>
      <c r="S544" s="422"/>
      <c r="T544" s="422"/>
      <c r="U544" s="422"/>
      <c r="V544" s="422"/>
      <c r="W544" s="422"/>
      <c r="X544" s="422"/>
      <c r="Y544" s="422"/>
      <c r="Z544" s="422"/>
    </row>
    <row r="545" spans="1:26" ht="15" thickBot="1">
      <c r="A545" s="422"/>
      <c r="B545" s="422"/>
      <c r="C545" s="422"/>
      <c r="D545" s="422"/>
      <c r="E545" s="422"/>
      <c r="F545" s="422"/>
      <c r="G545" s="422"/>
      <c r="H545" s="422"/>
      <c r="I545" s="422"/>
      <c r="J545" s="422"/>
      <c r="K545" s="422"/>
      <c r="L545" s="422"/>
      <c r="M545" s="422"/>
      <c r="N545" s="422"/>
      <c r="O545" s="422"/>
      <c r="P545" s="422"/>
      <c r="Q545" s="422"/>
      <c r="R545" s="422"/>
      <c r="S545" s="422"/>
      <c r="T545" s="422"/>
      <c r="U545" s="422"/>
      <c r="V545" s="422"/>
      <c r="W545" s="422"/>
      <c r="X545" s="422"/>
      <c r="Y545" s="422"/>
      <c r="Z545" s="422"/>
    </row>
    <row r="546" spans="1:26" ht="15" thickBot="1">
      <c r="A546" s="422"/>
      <c r="B546" s="422"/>
      <c r="C546" s="422"/>
      <c r="D546" s="422"/>
      <c r="E546" s="422"/>
      <c r="F546" s="422"/>
      <c r="G546" s="422"/>
      <c r="H546" s="422"/>
      <c r="I546" s="422"/>
      <c r="J546" s="422"/>
      <c r="K546" s="422"/>
      <c r="L546" s="422"/>
      <c r="M546" s="422"/>
      <c r="N546" s="422"/>
      <c r="O546" s="422"/>
      <c r="P546" s="422"/>
      <c r="Q546" s="422"/>
      <c r="R546" s="422"/>
      <c r="S546" s="422"/>
      <c r="T546" s="422"/>
      <c r="U546" s="422"/>
      <c r="V546" s="422"/>
      <c r="W546" s="422"/>
      <c r="X546" s="422"/>
      <c r="Y546" s="422"/>
      <c r="Z546" s="422"/>
    </row>
    <row r="547" spans="1:26" ht="15" thickBot="1">
      <c r="A547" s="422"/>
      <c r="B547" s="422"/>
      <c r="C547" s="422"/>
      <c r="D547" s="422"/>
      <c r="E547" s="422"/>
      <c r="F547" s="422"/>
      <c r="G547" s="422"/>
      <c r="H547" s="422"/>
      <c r="I547" s="422"/>
      <c r="J547" s="422"/>
      <c r="K547" s="422"/>
      <c r="L547" s="422"/>
      <c r="M547" s="422"/>
      <c r="N547" s="422"/>
      <c r="O547" s="422"/>
      <c r="P547" s="422"/>
      <c r="Q547" s="422"/>
      <c r="R547" s="422"/>
      <c r="S547" s="422"/>
      <c r="T547" s="422"/>
      <c r="U547" s="422"/>
      <c r="V547" s="422"/>
      <c r="W547" s="422"/>
      <c r="X547" s="422"/>
      <c r="Y547" s="422"/>
      <c r="Z547" s="422"/>
    </row>
    <row r="548" spans="1:26" ht="15" thickBot="1">
      <c r="A548" s="422"/>
      <c r="B548" s="422"/>
      <c r="C548" s="422"/>
      <c r="D548" s="422"/>
      <c r="E548" s="422"/>
      <c r="F548" s="422"/>
      <c r="G548" s="422"/>
      <c r="H548" s="422"/>
      <c r="I548" s="422"/>
      <c r="J548" s="422"/>
      <c r="K548" s="422"/>
      <c r="L548" s="422"/>
      <c r="M548" s="422"/>
      <c r="N548" s="422"/>
      <c r="O548" s="422"/>
      <c r="P548" s="422"/>
      <c r="Q548" s="422"/>
      <c r="R548" s="422"/>
      <c r="S548" s="422"/>
      <c r="T548" s="422"/>
      <c r="U548" s="422"/>
      <c r="V548" s="422"/>
      <c r="W548" s="422"/>
      <c r="X548" s="422"/>
      <c r="Y548" s="422"/>
      <c r="Z548" s="422"/>
    </row>
    <row r="549" spans="1:26" ht="15" thickBot="1">
      <c r="A549" s="422"/>
      <c r="B549" s="422"/>
      <c r="C549" s="422"/>
      <c r="D549" s="422"/>
      <c r="E549" s="422"/>
      <c r="F549" s="422"/>
      <c r="G549" s="422"/>
      <c r="H549" s="422"/>
      <c r="I549" s="422"/>
      <c r="J549" s="422"/>
      <c r="K549" s="422"/>
      <c r="L549" s="422"/>
      <c r="M549" s="422"/>
      <c r="N549" s="422"/>
      <c r="O549" s="422"/>
      <c r="P549" s="422"/>
      <c r="Q549" s="422"/>
      <c r="R549" s="422"/>
      <c r="S549" s="422"/>
      <c r="T549" s="422"/>
      <c r="U549" s="422"/>
      <c r="V549" s="422"/>
      <c r="W549" s="422"/>
      <c r="X549" s="422"/>
      <c r="Y549" s="422"/>
      <c r="Z549" s="422"/>
    </row>
    <row r="550" spans="1:26" ht="15" thickBot="1">
      <c r="A550" s="422"/>
      <c r="B550" s="422"/>
      <c r="C550" s="422"/>
      <c r="D550" s="422"/>
      <c r="E550" s="422"/>
      <c r="F550" s="422"/>
      <c r="G550" s="422"/>
      <c r="H550" s="422"/>
      <c r="I550" s="422"/>
      <c r="J550" s="422"/>
      <c r="K550" s="422"/>
      <c r="L550" s="422"/>
      <c r="M550" s="422"/>
      <c r="N550" s="422"/>
      <c r="O550" s="422"/>
      <c r="P550" s="422"/>
      <c r="Q550" s="422"/>
      <c r="R550" s="422"/>
      <c r="S550" s="422"/>
      <c r="T550" s="422"/>
      <c r="U550" s="422"/>
      <c r="V550" s="422"/>
      <c r="W550" s="422"/>
      <c r="X550" s="422"/>
      <c r="Y550" s="422"/>
      <c r="Z550" s="422"/>
    </row>
    <row r="551" spans="1:26" ht="15" thickBot="1">
      <c r="A551" s="422"/>
      <c r="B551" s="422"/>
      <c r="C551" s="422"/>
      <c r="D551" s="422"/>
      <c r="E551" s="422"/>
      <c r="F551" s="422"/>
      <c r="G551" s="422"/>
      <c r="H551" s="422"/>
      <c r="I551" s="422"/>
      <c r="J551" s="422"/>
      <c r="K551" s="422"/>
      <c r="L551" s="422"/>
      <c r="M551" s="422"/>
      <c r="N551" s="422"/>
      <c r="O551" s="422"/>
      <c r="P551" s="422"/>
      <c r="Q551" s="422"/>
      <c r="R551" s="422"/>
      <c r="S551" s="422"/>
      <c r="T551" s="422"/>
      <c r="U551" s="422"/>
      <c r="V551" s="422"/>
      <c r="W551" s="422"/>
      <c r="X551" s="422"/>
      <c r="Y551" s="422"/>
      <c r="Z551" s="422"/>
    </row>
    <row r="552" spans="1:26" ht="15" thickBot="1">
      <c r="A552" s="422"/>
      <c r="B552" s="422"/>
      <c r="C552" s="422"/>
      <c r="D552" s="422"/>
      <c r="E552" s="422"/>
      <c r="F552" s="422"/>
      <c r="G552" s="422"/>
      <c r="H552" s="422"/>
      <c r="I552" s="422"/>
      <c r="J552" s="422"/>
      <c r="K552" s="422"/>
      <c r="L552" s="422"/>
      <c r="M552" s="422"/>
      <c r="N552" s="422"/>
      <c r="O552" s="422"/>
      <c r="P552" s="422"/>
      <c r="Q552" s="422"/>
      <c r="R552" s="422"/>
      <c r="S552" s="422"/>
      <c r="T552" s="422"/>
      <c r="U552" s="422"/>
      <c r="V552" s="422"/>
      <c r="W552" s="422"/>
      <c r="X552" s="422"/>
      <c r="Y552" s="422"/>
      <c r="Z552" s="422"/>
    </row>
    <row r="553" spans="1:26" ht="15" thickBot="1">
      <c r="A553" s="422"/>
      <c r="B553" s="422"/>
      <c r="C553" s="422"/>
      <c r="D553" s="422"/>
      <c r="E553" s="422"/>
      <c r="F553" s="422"/>
      <c r="G553" s="422"/>
      <c r="H553" s="422"/>
      <c r="I553" s="422"/>
      <c r="J553" s="422"/>
      <c r="K553" s="422"/>
      <c r="L553" s="422"/>
      <c r="M553" s="422"/>
      <c r="N553" s="422"/>
      <c r="O553" s="422"/>
      <c r="P553" s="422"/>
      <c r="Q553" s="422"/>
      <c r="R553" s="422"/>
      <c r="S553" s="422"/>
      <c r="T553" s="422"/>
      <c r="U553" s="422"/>
      <c r="V553" s="422"/>
      <c r="W553" s="422"/>
      <c r="X553" s="422"/>
      <c r="Y553" s="422"/>
      <c r="Z553" s="422"/>
    </row>
    <row r="554" spans="1:26" ht="15" thickBot="1">
      <c r="A554" s="422"/>
      <c r="B554" s="422"/>
      <c r="C554" s="422"/>
      <c r="D554" s="422"/>
      <c r="E554" s="422"/>
      <c r="F554" s="422"/>
      <c r="G554" s="422"/>
      <c r="H554" s="422"/>
      <c r="I554" s="422"/>
      <c r="J554" s="422"/>
      <c r="K554" s="422"/>
      <c r="L554" s="422"/>
      <c r="M554" s="422"/>
      <c r="N554" s="422"/>
      <c r="O554" s="422"/>
      <c r="P554" s="422"/>
      <c r="Q554" s="422"/>
      <c r="R554" s="422"/>
      <c r="S554" s="422"/>
      <c r="T554" s="422"/>
      <c r="U554" s="422"/>
      <c r="V554" s="422"/>
      <c r="W554" s="422"/>
      <c r="X554" s="422"/>
      <c r="Y554" s="422"/>
      <c r="Z554" s="422"/>
    </row>
    <row r="555" spans="1:26" ht="15" thickBot="1">
      <c r="A555" s="422"/>
      <c r="B555" s="422"/>
      <c r="C555" s="422"/>
      <c r="D555" s="422"/>
      <c r="E555" s="422"/>
      <c r="F555" s="422"/>
      <c r="G555" s="422"/>
      <c r="H555" s="422"/>
      <c r="I555" s="422"/>
      <c r="J555" s="422"/>
      <c r="K555" s="422"/>
      <c r="L555" s="422"/>
      <c r="M555" s="422"/>
      <c r="N555" s="422"/>
      <c r="O555" s="422"/>
      <c r="P555" s="422"/>
      <c r="Q555" s="422"/>
      <c r="R555" s="422"/>
      <c r="S555" s="422"/>
      <c r="T555" s="422"/>
      <c r="U555" s="422"/>
      <c r="V555" s="422"/>
      <c r="W555" s="422"/>
      <c r="X555" s="422"/>
      <c r="Y555" s="422"/>
      <c r="Z555" s="422"/>
    </row>
    <row r="556" spans="1:26" ht="15" thickBot="1">
      <c r="A556" s="422"/>
      <c r="B556" s="422"/>
      <c r="C556" s="422"/>
      <c r="D556" s="422"/>
      <c r="E556" s="422"/>
      <c r="F556" s="422"/>
      <c r="G556" s="422"/>
      <c r="H556" s="422"/>
      <c r="I556" s="422"/>
      <c r="J556" s="422"/>
      <c r="K556" s="422"/>
      <c r="L556" s="422"/>
      <c r="M556" s="422"/>
      <c r="N556" s="422"/>
      <c r="O556" s="422"/>
      <c r="P556" s="422"/>
      <c r="Q556" s="422"/>
      <c r="R556" s="422"/>
      <c r="S556" s="422"/>
      <c r="T556" s="422"/>
      <c r="U556" s="422"/>
      <c r="V556" s="422"/>
      <c r="W556" s="422"/>
      <c r="X556" s="422"/>
      <c r="Y556" s="422"/>
      <c r="Z556" s="422"/>
    </row>
    <row r="557" spans="1:26" ht="15" thickBot="1">
      <c r="A557" s="422"/>
      <c r="B557" s="422"/>
      <c r="C557" s="422"/>
      <c r="D557" s="422"/>
      <c r="E557" s="422"/>
      <c r="F557" s="422"/>
      <c r="G557" s="422"/>
      <c r="H557" s="422"/>
      <c r="I557" s="422"/>
      <c r="J557" s="422"/>
      <c r="K557" s="422"/>
      <c r="L557" s="422"/>
      <c r="M557" s="422"/>
      <c r="N557" s="422"/>
      <c r="O557" s="422"/>
      <c r="P557" s="422"/>
      <c r="Q557" s="422"/>
      <c r="R557" s="422"/>
      <c r="S557" s="422"/>
      <c r="T557" s="422"/>
      <c r="U557" s="422"/>
      <c r="V557" s="422"/>
      <c r="W557" s="422"/>
      <c r="X557" s="422"/>
      <c r="Y557" s="422"/>
      <c r="Z557" s="422"/>
    </row>
    <row r="558" spans="1:26" ht="15" thickBot="1">
      <c r="A558" s="422"/>
      <c r="B558" s="422"/>
      <c r="C558" s="422"/>
      <c r="D558" s="422"/>
      <c r="E558" s="422"/>
      <c r="F558" s="422"/>
      <c r="G558" s="422"/>
      <c r="H558" s="422"/>
      <c r="I558" s="422"/>
      <c r="J558" s="422"/>
      <c r="K558" s="422"/>
      <c r="L558" s="422"/>
      <c r="M558" s="422"/>
      <c r="N558" s="422"/>
      <c r="O558" s="422"/>
      <c r="P558" s="422"/>
      <c r="Q558" s="422"/>
      <c r="R558" s="422"/>
      <c r="S558" s="422"/>
      <c r="T558" s="422"/>
      <c r="U558" s="422"/>
      <c r="V558" s="422"/>
      <c r="W558" s="422"/>
      <c r="X558" s="422"/>
      <c r="Y558" s="422"/>
      <c r="Z558" s="422"/>
    </row>
    <row r="559" spans="1:26" ht="15" thickBot="1">
      <c r="A559" s="422"/>
      <c r="B559" s="422"/>
      <c r="C559" s="422"/>
      <c r="D559" s="422"/>
      <c r="E559" s="422"/>
      <c r="F559" s="422"/>
      <c r="G559" s="422"/>
      <c r="H559" s="422"/>
      <c r="I559" s="422"/>
      <c r="J559" s="422"/>
      <c r="K559" s="422"/>
      <c r="L559" s="422"/>
      <c r="M559" s="422"/>
      <c r="N559" s="422"/>
      <c r="O559" s="422"/>
      <c r="P559" s="422"/>
      <c r="Q559" s="422"/>
      <c r="R559" s="422"/>
      <c r="S559" s="422"/>
      <c r="T559" s="422"/>
      <c r="U559" s="422"/>
      <c r="V559" s="422"/>
      <c r="W559" s="422"/>
      <c r="X559" s="422"/>
      <c r="Y559" s="422"/>
      <c r="Z559" s="422"/>
    </row>
    <row r="560" spans="1:26" ht="15" thickBot="1">
      <c r="A560" s="422"/>
      <c r="B560" s="422"/>
      <c r="C560" s="422"/>
      <c r="D560" s="422"/>
      <c r="E560" s="422"/>
      <c r="F560" s="422"/>
      <c r="G560" s="422"/>
      <c r="H560" s="422"/>
      <c r="I560" s="422"/>
      <c r="J560" s="422"/>
      <c r="K560" s="422"/>
      <c r="L560" s="422"/>
      <c r="M560" s="422"/>
      <c r="N560" s="422"/>
      <c r="O560" s="422"/>
      <c r="P560" s="422"/>
      <c r="Q560" s="422"/>
      <c r="R560" s="422"/>
      <c r="S560" s="422"/>
      <c r="T560" s="422"/>
      <c r="U560" s="422"/>
      <c r="V560" s="422"/>
      <c r="W560" s="422"/>
      <c r="X560" s="422"/>
      <c r="Y560" s="422"/>
      <c r="Z560" s="422"/>
    </row>
    <row r="561" spans="1:26" ht="15" thickBot="1">
      <c r="A561" s="422"/>
      <c r="B561" s="422"/>
      <c r="C561" s="422"/>
      <c r="D561" s="422"/>
      <c r="E561" s="422"/>
      <c r="F561" s="422"/>
      <c r="G561" s="422"/>
      <c r="H561" s="422"/>
      <c r="I561" s="422"/>
      <c r="J561" s="422"/>
      <c r="K561" s="422"/>
      <c r="L561" s="422"/>
      <c r="M561" s="422"/>
      <c r="N561" s="422"/>
      <c r="O561" s="422"/>
      <c r="P561" s="422"/>
      <c r="Q561" s="422"/>
      <c r="R561" s="422"/>
      <c r="S561" s="422"/>
      <c r="T561" s="422"/>
      <c r="U561" s="422"/>
      <c r="V561" s="422"/>
      <c r="W561" s="422"/>
      <c r="X561" s="422"/>
      <c r="Y561" s="422"/>
      <c r="Z561" s="422"/>
    </row>
    <row r="562" spans="1:26" ht="15" thickBot="1">
      <c r="A562" s="422"/>
      <c r="B562" s="422"/>
      <c r="C562" s="422"/>
      <c r="D562" s="422"/>
      <c r="E562" s="422"/>
      <c r="F562" s="422"/>
      <c r="G562" s="422"/>
      <c r="H562" s="422"/>
      <c r="I562" s="422"/>
      <c r="J562" s="422"/>
      <c r="K562" s="422"/>
      <c r="L562" s="422"/>
      <c r="M562" s="422"/>
      <c r="N562" s="422"/>
      <c r="O562" s="422"/>
      <c r="P562" s="422"/>
      <c r="Q562" s="422"/>
      <c r="R562" s="422"/>
      <c r="S562" s="422"/>
      <c r="T562" s="422"/>
      <c r="U562" s="422"/>
      <c r="V562" s="422"/>
      <c r="W562" s="422"/>
      <c r="X562" s="422"/>
      <c r="Y562" s="422"/>
      <c r="Z562" s="422"/>
    </row>
    <row r="563" spans="1:26" ht="15" thickBot="1">
      <c r="A563" s="422"/>
      <c r="B563" s="422"/>
      <c r="C563" s="422"/>
      <c r="D563" s="422"/>
      <c r="E563" s="422"/>
      <c r="F563" s="422"/>
      <c r="G563" s="422"/>
      <c r="H563" s="422"/>
      <c r="I563" s="422"/>
      <c r="J563" s="422"/>
      <c r="K563" s="422"/>
      <c r="L563" s="422"/>
      <c r="M563" s="422"/>
      <c r="N563" s="422"/>
      <c r="O563" s="422"/>
      <c r="P563" s="422"/>
      <c r="Q563" s="422"/>
      <c r="R563" s="422"/>
      <c r="S563" s="422"/>
      <c r="T563" s="422"/>
      <c r="U563" s="422"/>
      <c r="V563" s="422"/>
      <c r="W563" s="422"/>
      <c r="X563" s="422"/>
      <c r="Y563" s="422"/>
      <c r="Z563" s="422"/>
    </row>
    <row r="564" spans="1:26" ht="15" thickBot="1">
      <c r="A564" s="422"/>
      <c r="B564" s="422"/>
      <c r="C564" s="422"/>
      <c r="D564" s="422"/>
      <c r="E564" s="422"/>
      <c r="F564" s="422"/>
      <c r="G564" s="422"/>
      <c r="H564" s="422"/>
      <c r="I564" s="422"/>
      <c r="J564" s="422"/>
      <c r="K564" s="422"/>
      <c r="L564" s="422"/>
      <c r="M564" s="422"/>
      <c r="N564" s="422"/>
      <c r="O564" s="422"/>
      <c r="P564" s="422"/>
      <c r="Q564" s="422"/>
      <c r="R564" s="422"/>
      <c r="S564" s="422"/>
      <c r="T564" s="422"/>
      <c r="U564" s="422"/>
      <c r="V564" s="422"/>
      <c r="W564" s="422"/>
      <c r="X564" s="422"/>
      <c r="Y564" s="422"/>
      <c r="Z564" s="422"/>
    </row>
    <row r="565" spans="1:26" ht="15" thickBot="1">
      <c r="A565" s="422"/>
      <c r="B565" s="422"/>
      <c r="C565" s="422"/>
      <c r="D565" s="422"/>
      <c r="E565" s="422"/>
      <c r="F565" s="422"/>
      <c r="G565" s="422"/>
      <c r="H565" s="422"/>
      <c r="I565" s="422"/>
      <c r="J565" s="422"/>
      <c r="K565" s="422"/>
      <c r="L565" s="422"/>
      <c r="M565" s="422"/>
      <c r="N565" s="422"/>
      <c r="O565" s="422"/>
      <c r="P565" s="422"/>
      <c r="Q565" s="422"/>
      <c r="R565" s="422"/>
      <c r="S565" s="422"/>
      <c r="T565" s="422"/>
      <c r="U565" s="422"/>
      <c r="V565" s="422"/>
      <c r="W565" s="422"/>
      <c r="X565" s="422"/>
      <c r="Y565" s="422"/>
      <c r="Z565" s="422"/>
    </row>
    <row r="566" spans="1:26" ht="15" thickBot="1">
      <c r="A566" s="422"/>
      <c r="B566" s="422"/>
      <c r="C566" s="422"/>
      <c r="D566" s="422"/>
      <c r="E566" s="422"/>
      <c r="F566" s="422"/>
      <c r="G566" s="422"/>
      <c r="H566" s="422"/>
      <c r="I566" s="422"/>
      <c r="J566" s="422"/>
      <c r="K566" s="422"/>
      <c r="L566" s="422"/>
      <c r="M566" s="422"/>
      <c r="N566" s="422"/>
      <c r="O566" s="422"/>
      <c r="P566" s="422"/>
      <c r="Q566" s="422"/>
      <c r="R566" s="422"/>
      <c r="S566" s="422"/>
      <c r="T566" s="422"/>
      <c r="U566" s="422"/>
      <c r="V566" s="422"/>
      <c r="W566" s="422"/>
      <c r="X566" s="422"/>
      <c r="Y566" s="422"/>
      <c r="Z566" s="422"/>
    </row>
    <row r="567" spans="1:26" ht="15" thickBot="1">
      <c r="A567" s="422"/>
      <c r="B567" s="422"/>
      <c r="C567" s="422"/>
      <c r="D567" s="422"/>
      <c r="E567" s="422"/>
      <c r="F567" s="422"/>
      <c r="G567" s="422"/>
      <c r="H567" s="422"/>
      <c r="I567" s="422"/>
      <c r="J567" s="422"/>
      <c r="K567" s="422"/>
      <c r="L567" s="422"/>
      <c r="M567" s="422"/>
      <c r="N567" s="422"/>
      <c r="O567" s="422"/>
      <c r="P567" s="422"/>
      <c r="Q567" s="422"/>
      <c r="R567" s="422"/>
      <c r="S567" s="422"/>
      <c r="T567" s="422"/>
      <c r="U567" s="422"/>
      <c r="V567" s="422"/>
      <c r="W567" s="422"/>
      <c r="X567" s="422"/>
      <c r="Y567" s="422"/>
      <c r="Z567" s="422"/>
    </row>
    <row r="568" spans="1:26" ht="15" thickBot="1">
      <c r="A568" s="422"/>
      <c r="B568" s="422"/>
      <c r="C568" s="422"/>
      <c r="D568" s="422"/>
      <c r="E568" s="422"/>
      <c r="F568" s="422"/>
      <c r="G568" s="422"/>
      <c r="H568" s="422"/>
      <c r="I568" s="422"/>
      <c r="J568" s="422"/>
      <c r="K568" s="422"/>
      <c r="L568" s="422"/>
      <c r="M568" s="422"/>
      <c r="N568" s="422"/>
      <c r="O568" s="422"/>
      <c r="P568" s="422"/>
      <c r="Q568" s="422"/>
      <c r="R568" s="422"/>
      <c r="S568" s="422"/>
      <c r="T568" s="422"/>
      <c r="U568" s="422"/>
      <c r="V568" s="422"/>
      <c r="W568" s="422"/>
      <c r="X568" s="422"/>
      <c r="Y568" s="422"/>
      <c r="Z568" s="422"/>
    </row>
    <row r="569" spans="1:26" ht="15" thickBot="1">
      <c r="A569" s="422"/>
      <c r="B569" s="422"/>
      <c r="C569" s="422"/>
      <c r="D569" s="422"/>
      <c r="E569" s="422"/>
      <c r="F569" s="422"/>
      <c r="G569" s="422"/>
      <c r="H569" s="422"/>
      <c r="I569" s="422"/>
      <c r="J569" s="422"/>
      <c r="K569" s="422"/>
      <c r="L569" s="422"/>
      <c r="M569" s="422"/>
      <c r="N569" s="422"/>
      <c r="O569" s="422"/>
      <c r="P569" s="422"/>
      <c r="Q569" s="422"/>
      <c r="R569" s="422"/>
      <c r="S569" s="422"/>
      <c r="T569" s="422"/>
      <c r="U569" s="422"/>
      <c r="V569" s="422"/>
      <c r="W569" s="422"/>
      <c r="X569" s="422"/>
      <c r="Y569" s="422"/>
      <c r="Z569" s="422"/>
    </row>
    <row r="570" spans="1:26" ht="15" thickBot="1">
      <c r="A570" s="422"/>
      <c r="B570" s="422"/>
      <c r="C570" s="422"/>
      <c r="D570" s="422"/>
      <c r="E570" s="422"/>
      <c r="F570" s="422"/>
      <c r="G570" s="422"/>
      <c r="H570" s="422"/>
      <c r="I570" s="422"/>
      <c r="J570" s="422"/>
      <c r="K570" s="422"/>
      <c r="L570" s="422"/>
      <c r="M570" s="422"/>
      <c r="N570" s="422"/>
      <c r="O570" s="422"/>
      <c r="P570" s="422"/>
      <c r="Q570" s="422"/>
      <c r="R570" s="422"/>
      <c r="S570" s="422"/>
      <c r="T570" s="422"/>
      <c r="U570" s="422"/>
      <c r="V570" s="422"/>
      <c r="W570" s="422"/>
      <c r="X570" s="422"/>
      <c r="Y570" s="422"/>
      <c r="Z570" s="422"/>
    </row>
    <row r="571" spans="1:26" ht="15" thickBot="1">
      <c r="A571" s="422"/>
      <c r="B571" s="422"/>
      <c r="C571" s="422"/>
      <c r="D571" s="422"/>
      <c r="E571" s="422"/>
      <c r="F571" s="422"/>
      <c r="G571" s="422"/>
      <c r="H571" s="422"/>
      <c r="I571" s="422"/>
      <c r="J571" s="422"/>
      <c r="K571" s="422"/>
      <c r="L571" s="422"/>
      <c r="M571" s="422"/>
      <c r="N571" s="422"/>
      <c r="O571" s="422"/>
      <c r="P571" s="422"/>
      <c r="Q571" s="422"/>
      <c r="R571" s="422"/>
      <c r="S571" s="422"/>
      <c r="T571" s="422"/>
      <c r="U571" s="422"/>
      <c r="V571" s="422"/>
      <c r="W571" s="422"/>
      <c r="X571" s="422"/>
      <c r="Y571" s="422"/>
      <c r="Z571" s="422"/>
    </row>
    <row r="572" spans="1:26" ht="15" thickBot="1">
      <c r="A572" s="422"/>
      <c r="B572" s="422"/>
      <c r="C572" s="422"/>
      <c r="D572" s="422"/>
      <c r="E572" s="422"/>
      <c r="F572" s="422"/>
      <c r="G572" s="422"/>
      <c r="H572" s="422"/>
      <c r="I572" s="422"/>
      <c r="J572" s="422"/>
      <c r="K572" s="422"/>
      <c r="L572" s="422"/>
      <c r="M572" s="422"/>
      <c r="N572" s="422"/>
      <c r="O572" s="422"/>
      <c r="P572" s="422"/>
      <c r="Q572" s="422"/>
      <c r="R572" s="422"/>
      <c r="S572" s="422"/>
      <c r="T572" s="422"/>
      <c r="U572" s="422"/>
      <c r="V572" s="422"/>
      <c r="W572" s="422"/>
      <c r="X572" s="422"/>
      <c r="Y572" s="422"/>
      <c r="Z572" s="422"/>
    </row>
    <row r="573" spans="1:26" ht="15" thickBot="1">
      <c r="A573" s="422"/>
      <c r="B573" s="422"/>
      <c r="C573" s="422"/>
      <c r="D573" s="422"/>
      <c r="E573" s="422"/>
      <c r="F573" s="422"/>
      <c r="G573" s="422"/>
      <c r="H573" s="422"/>
      <c r="I573" s="422"/>
      <c r="J573" s="422"/>
      <c r="K573" s="422"/>
      <c r="L573" s="422"/>
      <c r="M573" s="422"/>
      <c r="N573" s="422"/>
      <c r="O573" s="422"/>
      <c r="P573" s="422"/>
      <c r="Q573" s="422"/>
      <c r="R573" s="422"/>
      <c r="S573" s="422"/>
      <c r="T573" s="422"/>
      <c r="U573" s="422"/>
      <c r="V573" s="422"/>
      <c r="W573" s="422"/>
      <c r="X573" s="422"/>
      <c r="Y573" s="422"/>
      <c r="Z573" s="422"/>
    </row>
    <row r="574" spans="1:26" ht="15" thickBot="1">
      <c r="A574" s="422"/>
      <c r="B574" s="422"/>
      <c r="C574" s="422"/>
      <c r="D574" s="422"/>
      <c r="E574" s="422"/>
      <c r="F574" s="422"/>
      <c r="G574" s="422"/>
      <c r="H574" s="422"/>
      <c r="I574" s="422"/>
      <c r="J574" s="422"/>
      <c r="K574" s="422"/>
      <c r="L574" s="422"/>
      <c r="M574" s="422"/>
      <c r="N574" s="422"/>
      <c r="O574" s="422"/>
      <c r="P574" s="422"/>
      <c r="Q574" s="422"/>
      <c r="R574" s="422"/>
      <c r="S574" s="422"/>
      <c r="T574" s="422"/>
      <c r="U574" s="422"/>
      <c r="V574" s="422"/>
      <c r="W574" s="422"/>
      <c r="X574" s="422"/>
      <c r="Y574" s="422"/>
      <c r="Z574" s="422"/>
    </row>
    <row r="575" spans="1:26" ht="15" thickBot="1">
      <c r="A575" s="422"/>
      <c r="B575" s="422"/>
      <c r="C575" s="422"/>
      <c r="D575" s="422"/>
      <c r="E575" s="422"/>
      <c r="F575" s="422"/>
      <c r="G575" s="422"/>
      <c r="H575" s="422"/>
      <c r="I575" s="422"/>
      <c r="J575" s="422"/>
      <c r="K575" s="422"/>
      <c r="L575" s="422"/>
      <c r="M575" s="422"/>
      <c r="N575" s="422"/>
      <c r="O575" s="422"/>
      <c r="P575" s="422"/>
      <c r="Q575" s="422"/>
      <c r="R575" s="422"/>
      <c r="S575" s="422"/>
      <c r="T575" s="422"/>
      <c r="U575" s="422"/>
      <c r="V575" s="422"/>
      <c r="W575" s="422"/>
      <c r="X575" s="422"/>
      <c r="Y575" s="422"/>
      <c r="Z575" s="422"/>
    </row>
    <row r="576" spans="1:26" ht="15" thickBot="1">
      <c r="A576" s="422"/>
      <c r="B576" s="422"/>
      <c r="C576" s="422"/>
      <c r="D576" s="422"/>
      <c r="E576" s="422"/>
      <c r="F576" s="422"/>
      <c r="G576" s="422"/>
      <c r="H576" s="422"/>
      <c r="I576" s="422"/>
      <c r="J576" s="422"/>
      <c r="K576" s="422"/>
      <c r="L576" s="422"/>
      <c r="M576" s="422"/>
      <c r="N576" s="422"/>
      <c r="O576" s="422"/>
      <c r="P576" s="422"/>
      <c r="Q576" s="422"/>
      <c r="R576" s="422"/>
      <c r="S576" s="422"/>
      <c r="T576" s="422"/>
      <c r="U576" s="422"/>
      <c r="V576" s="422"/>
      <c r="W576" s="422"/>
      <c r="X576" s="422"/>
      <c r="Y576" s="422"/>
      <c r="Z576" s="422"/>
    </row>
    <row r="577" spans="1:26" ht="15" thickBot="1">
      <c r="A577" s="422"/>
      <c r="B577" s="422"/>
      <c r="C577" s="422"/>
      <c r="D577" s="422"/>
      <c r="E577" s="422"/>
      <c r="F577" s="422"/>
      <c r="G577" s="422"/>
      <c r="H577" s="422"/>
      <c r="I577" s="422"/>
      <c r="J577" s="422"/>
      <c r="K577" s="422"/>
      <c r="L577" s="422"/>
      <c r="M577" s="422"/>
      <c r="N577" s="422"/>
      <c r="O577" s="422"/>
      <c r="P577" s="422"/>
      <c r="Q577" s="422"/>
      <c r="R577" s="422"/>
      <c r="S577" s="422"/>
      <c r="T577" s="422"/>
      <c r="U577" s="422"/>
      <c r="V577" s="422"/>
      <c r="W577" s="422"/>
      <c r="X577" s="422"/>
      <c r="Y577" s="422"/>
      <c r="Z577" s="422"/>
    </row>
    <row r="578" spans="1:26" ht="15" thickBot="1">
      <c r="A578" s="422"/>
      <c r="B578" s="422"/>
      <c r="C578" s="422"/>
      <c r="D578" s="422"/>
      <c r="E578" s="422"/>
      <c r="F578" s="422"/>
      <c r="G578" s="422"/>
      <c r="H578" s="422"/>
      <c r="I578" s="422"/>
      <c r="J578" s="422"/>
      <c r="K578" s="422"/>
      <c r="L578" s="422"/>
      <c r="M578" s="422"/>
      <c r="N578" s="422"/>
      <c r="O578" s="422"/>
      <c r="P578" s="422"/>
      <c r="Q578" s="422"/>
      <c r="R578" s="422"/>
      <c r="S578" s="422"/>
      <c r="T578" s="422"/>
      <c r="U578" s="422"/>
      <c r="V578" s="422"/>
      <c r="W578" s="422"/>
      <c r="X578" s="422"/>
      <c r="Y578" s="422"/>
      <c r="Z578" s="422"/>
    </row>
    <row r="579" spans="1:26" ht="15" thickBot="1">
      <c r="A579" s="422"/>
      <c r="B579" s="422"/>
      <c r="C579" s="422"/>
      <c r="D579" s="422"/>
      <c r="E579" s="422"/>
      <c r="F579" s="422"/>
      <c r="G579" s="422"/>
      <c r="H579" s="422"/>
      <c r="I579" s="422"/>
      <c r="J579" s="422"/>
      <c r="K579" s="422"/>
      <c r="L579" s="422"/>
      <c r="M579" s="422"/>
      <c r="N579" s="422"/>
      <c r="O579" s="422"/>
      <c r="P579" s="422"/>
      <c r="Q579" s="422"/>
      <c r="R579" s="422"/>
      <c r="S579" s="422"/>
      <c r="T579" s="422"/>
      <c r="U579" s="422"/>
      <c r="V579" s="422"/>
      <c r="W579" s="422"/>
      <c r="X579" s="422"/>
      <c r="Y579" s="422"/>
      <c r="Z579" s="422"/>
    </row>
    <row r="580" spans="1:26" ht="15" thickBot="1">
      <c r="A580" s="422"/>
      <c r="B580" s="422"/>
      <c r="C580" s="422"/>
      <c r="D580" s="422"/>
      <c r="E580" s="422"/>
      <c r="F580" s="422"/>
      <c r="G580" s="422"/>
      <c r="H580" s="422"/>
      <c r="I580" s="422"/>
      <c r="J580" s="422"/>
      <c r="K580" s="422"/>
      <c r="L580" s="422"/>
      <c r="M580" s="422"/>
      <c r="N580" s="422"/>
      <c r="O580" s="422"/>
      <c r="P580" s="422"/>
      <c r="Q580" s="422"/>
      <c r="R580" s="422"/>
      <c r="S580" s="422"/>
      <c r="T580" s="422"/>
      <c r="U580" s="422"/>
      <c r="V580" s="422"/>
      <c r="W580" s="422"/>
      <c r="X580" s="422"/>
      <c r="Y580" s="422"/>
      <c r="Z580" s="422"/>
    </row>
    <row r="581" spans="1:26" ht="15" thickBot="1">
      <c r="A581" s="422"/>
      <c r="B581" s="422"/>
      <c r="C581" s="422"/>
      <c r="D581" s="422"/>
      <c r="E581" s="422"/>
      <c r="F581" s="422"/>
      <c r="G581" s="422"/>
      <c r="H581" s="422"/>
      <c r="I581" s="422"/>
      <c r="J581" s="422"/>
      <c r="K581" s="422"/>
      <c r="L581" s="422"/>
      <c r="M581" s="422"/>
      <c r="N581" s="422"/>
      <c r="O581" s="422"/>
      <c r="P581" s="422"/>
      <c r="Q581" s="422"/>
      <c r="R581" s="422"/>
      <c r="S581" s="422"/>
      <c r="T581" s="422"/>
      <c r="U581" s="422"/>
      <c r="V581" s="422"/>
      <c r="W581" s="422"/>
      <c r="X581" s="422"/>
      <c r="Y581" s="422"/>
      <c r="Z581" s="422"/>
    </row>
    <row r="582" spans="1:26" ht="15" thickBot="1">
      <c r="A582" s="422"/>
      <c r="B582" s="422"/>
      <c r="C582" s="422"/>
      <c r="D582" s="422"/>
      <c r="E582" s="422"/>
      <c r="F582" s="422"/>
      <c r="G582" s="422"/>
      <c r="H582" s="422"/>
      <c r="I582" s="422"/>
      <c r="J582" s="422"/>
      <c r="K582" s="422"/>
      <c r="L582" s="422"/>
      <c r="M582" s="422"/>
      <c r="N582" s="422"/>
      <c r="O582" s="422"/>
      <c r="P582" s="422"/>
      <c r="Q582" s="422"/>
      <c r="R582" s="422"/>
      <c r="S582" s="422"/>
      <c r="T582" s="422"/>
      <c r="U582" s="422"/>
      <c r="V582" s="422"/>
      <c r="W582" s="422"/>
      <c r="X582" s="422"/>
      <c r="Y582" s="422"/>
      <c r="Z582" s="422"/>
    </row>
    <row r="583" spans="1:26" ht="15" thickBot="1">
      <c r="A583" s="422"/>
      <c r="B583" s="422"/>
      <c r="C583" s="422"/>
      <c r="D583" s="422"/>
      <c r="E583" s="422"/>
      <c r="F583" s="422"/>
      <c r="G583" s="422"/>
      <c r="H583" s="422"/>
      <c r="I583" s="422"/>
      <c r="J583" s="422"/>
      <c r="K583" s="422"/>
      <c r="L583" s="422"/>
      <c r="M583" s="422"/>
      <c r="N583" s="422"/>
      <c r="O583" s="422"/>
      <c r="P583" s="422"/>
      <c r="Q583" s="422"/>
      <c r="R583" s="422"/>
      <c r="S583" s="422"/>
      <c r="T583" s="422"/>
      <c r="U583" s="422"/>
      <c r="V583" s="422"/>
      <c r="W583" s="422"/>
      <c r="X583" s="422"/>
      <c r="Y583" s="422"/>
      <c r="Z583" s="422"/>
    </row>
    <row r="584" spans="1:26" ht="15" thickBot="1">
      <c r="A584" s="422"/>
      <c r="B584" s="422"/>
      <c r="C584" s="422"/>
      <c r="D584" s="422"/>
      <c r="E584" s="422"/>
      <c r="F584" s="422"/>
      <c r="G584" s="422"/>
      <c r="H584" s="422"/>
      <c r="I584" s="422"/>
      <c r="J584" s="422"/>
      <c r="K584" s="422"/>
      <c r="L584" s="422"/>
      <c r="M584" s="422"/>
      <c r="N584" s="422"/>
      <c r="O584" s="422"/>
      <c r="P584" s="422"/>
      <c r="Q584" s="422"/>
      <c r="R584" s="422"/>
      <c r="S584" s="422"/>
      <c r="T584" s="422"/>
      <c r="U584" s="422"/>
      <c r="V584" s="422"/>
      <c r="W584" s="422"/>
      <c r="X584" s="422"/>
      <c r="Y584" s="422"/>
      <c r="Z584" s="422"/>
    </row>
    <row r="585" spans="1:26" ht="15" thickBot="1">
      <c r="A585" s="422"/>
      <c r="B585" s="422"/>
      <c r="C585" s="422"/>
      <c r="D585" s="422"/>
      <c r="E585" s="422"/>
      <c r="F585" s="422"/>
      <c r="G585" s="422"/>
      <c r="H585" s="422"/>
      <c r="I585" s="422"/>
      <c r="J585" s="422"/>
      <c r="K585" s="422"/>
      <c r="L585" s="422"/>
      <c r="M585" s="422"/>
      <c r="N585" s="422"/>
      <c r="O585" s="422"/>
      <c r="P585" s="422"/>
      <c r="Q585" s="422"/>
      <c r="R585" s="422"/>
      <c r="S585" s="422"/>
      <c r="T585" s="422"/>
      <c r="U585" s="422"/>
      <c r="V585" s="422"/>
      <c r="W585" s="422"/>
      <c r="X585" s="422"/>
      <c r="Y585" s="422"/>
      <c r="Z585" s="422"/>
    </row>
    <row r="586" spans="1:26" ht="15" thickBot="1">
      <c r="A586" s="422"/>
      <c r="B586" s="422"/>
      <c r="C586" s="422"/>
      <c r="D586" s="422"/>
      <c r="E586" s="422"/>
      <c r="F586" s="422"/>
      <c r="G586" s="422"/>
      <c r="H586" s="422"/>
      <c r="I586" s="422"/>
      <c r="J586" s="422"/>
      <c r="K586" s="422"/>
      <c r="L586" s="422"/>
      <c r="M586" s="422"/>
      <c r="N586" s="422"/>
      <c r="O586" s="422"/>
      <c r="P586" s="422"/>
      <c r="Q586" s="422"/>
      <c r="R586" s="422"/>
      <c r="S586" s="422"/>
      <c r="T586" s="422"/>
      <c r="U586" s="422"/>
      <c r="V586" s="422"/>
      <c r="W586" s="422"/>
      <c r="X586" s="422"/>
      <c r="Y586" s="422"/>
      <c r="Z586" s="422"/>
    </row>
    <row r="587" spans="1:26" ht="15" thickBot="1">
      <c r="A587" s="422"/>
      <c r="B587" s="422"/>
      <c r="C587" s="422"/>
      <c r="D587" s="422"/>
      <c r="E587" s="422"/>
      <c r="F587" s="422"/>
      <c r="G587" s="422"/>
      <c r="H587" s="422"/>
      <c r="I587" s="422"/>
      <c r="J587" s="422"/>
      <c r="K587" s="422"/>
      <c r="L587" s="422"/>
      <c r="M587" s="422"/>
      <c r="N587" s="422"/>
      <c r="O587" s="422"/>
      <c r="P587" s="422"/>
      <c r="Q587" s="422"/>
      <c r="R587" s="422"/>
      <c r="S587" s="422"/>
      <c r="T587" s="422"/>
      <c r="U587" s="422"/>
      <c r="V587" s="422"/>
      <c r="W587" s="422"/>
      <c r="X587" s="422"/>
      <c r="Y587" s="422"/>
      <c r="Z587" s="422"/>
    </row>
    <row r="588" spans="1:26" ht="15" thickBot="1">
      <c r="A588" s="422"/>
      <c r="B588" s="422"/>
      <c r="C588" s="422"/>
      <c r="D588" s="422"/>
      <c r="E588" s="422"/>
      <c r="F588" s="422"/>
      <c r="G588" s="422"/>
      <c r="H588" s="422"/>
      <c r="I588" s="422"/>
      <c r="J588" s="422"/>
      <c r="K588" s="422"/>
      <c r="L588" s="422"/>
      <c r="M588" s="422"/>
      <c r="N588" s="422"/>
      <c r="O588" s="422"/>
      <c r="P588" s="422"/>
      <c r="Q588" s="422"/>
      <c r="R588" s="422"/>
      <c r="S588" s="422"/>
      <c r="T588" s="422"/>
      <c r="U588" s="422"/>
      <c r="V588" s="422"/>
      <c r="W588" s="422"/>
      <c r="X588" s="422"/>
      <c r="Y588" s="422"/>
      <c r="Z588" s="422"/>
    </row>
    <row r="589" spans="1:26" ht="15" thickBot="1">
      <c r="A589" s="422"/>
      <c r="B589" s="422"/>
      <c r="C589" s="422"/>
      <c r="D589" s="422"/>
      <c r="E589" s="422"/>
      <c r="F589" s="422"/>
      <c r="G589" s="422"/>
      <c r="H589" s="422"/>
      <c r="I589" s="422"/>
      <c r="J589" s="422"/>
      <c r="K589" s="422"/>
      <c r="L589" s="422"/>
      <c r="M589" s="422"/>
      <c r="N589" s="422"/>
      <c r="O589" s="422"/>
      <c r="P589" s="422"/>
      <c r="Q589" s="422"/>
      <c r="R589" s="422"/>
      <c r="S589" s="422"/>
      <c r="T589" s="422"/>
      <c r="U589" s="422"/>
      <c r="V589" s="422"/>
      <c r="W589" s="422"/>
      <c r="X589" s="422"/>
      <c r="Y589" s="422"/>
      <c r="Z589" s="422"/>
    </row>
    <row r="590" spans="1:26" ht="15" thickBot="1">
      <c r="A590" s="422"/>
      <c r="B590" s="422"/>
      <c r="C590" s="422"/>
      <c r="D590" s="422"/>
      <c r="E590" s="422"/>
      <c r="F590" s="422"/>
      <c r="G590" s="422"/>
      <c r="H590" s="422"/>
      <c r="I590" s="422"/>
      <c r="J590" s="422"/>
      <c r="K590" s="422"/>
      <c r="L590" s="422"/>
      <c r="M590" s="422"/>
      <c r="N590" s="422"/>
      <c r="O590" s="422"/>
      <c r="P590" s="422"/>
      <c r="Q590" s="422"/>
      <c r="R590" s="422"/>
      <c r="S590" s="422"/>
      <c r="T590" s="422"/>
      <c r="U590" s="422"/>
      <c r="V590" s="422"/>
      <c r="W590" s="422"/>
      <c r="X590" s="422"/>
      <c r="Y590" s="422"/>
      <c r="Z590" s="422"/>
    </row>
    <row r="591" spans="1:26" ht="15" thickBot="1">
      <c r="A591" s="422"/>
      <c r="B591" s="422"/>
      <c r="C591" s="422"/>
      <c r="D591" s="422"/>
      <c r="E591" s="422"/>
      <c r="F591" s="422"/>
      <c r="G591" s="422"/>
      <c r="H591" s="422"/>
      <c r="I591" s="422"/>
      <c r="J591" s="422"/>
      <c r="K591" s="422"/>
      <c r="L591" s="422"/>
      <c r="M591" s="422"/>
      <c r="N591" s="422"/>
      <c r="O591" s="422"/>
      <c r="P591" s="422"/>
      <c r="Q591" s="422"/>
      <c r="R591" s="422"/>
      <c r="S591" s="422"/>
      <c r="T591" s="422"/>
      <c r="U591" s="422"/>
      <c r="V591" s="422"/>
      <c r="W591" s="422"/>
      <c r="X591" s="422"/>
      <c r="Y591" s="422"/>
      <c r="Z591" s="422"/>
    </row>
    <row r="592" spans="1:26" ht="15" thickBot="1">
      <c r="A592" s="422"/>
      <c r="B592" s="422"/>
      <c r="C592" s="422"/>
      <c r="D592" s="422"/>
      <c r="E592" s="422"/>
      <c r="F592" s="422"/>
      <c r="G592" s="422"/>
      <c r="H592" s="422"/>
      <c r="I592" s="422"/>
      <c r="J592" s="422"/>
      <c r="K592" s="422"/>
      <c r="L592" s="422"/>
      <c r="M592" s="422"/>
      <c r="N592" s="422"/>
      <c r="O592" s="422"/>
      <c r="P592" s="422"/>
      <c r="Q592" s="422"/>
      <c r="R592" s="422"/>
      <c r="S592" s="422"/>
      <c r="T592" s="422"/>
      <c r="U592" s="422"/>
      <c r="V592" s="422"/>
      <c r="W592" s="422"/>
      <c r="X592" s="422"/>
      <c r="Y592" s="422"/>
      <c r="Z592" s="422"/>
    </row>
    <row r="593" spans="1:26" ht="15" thickBot="1">
      <c r="A593" s="422"/>
      <c r="B593" s="422"/>
      <c r="C593" s="422"/>
      <c r="D593" s="422"/>
      <c r="E593" s="422"/>
      <c r="F593" s="422"/>
      <c r="G593" s="422"/>
      <c r="H593" s="422"/>
      <c r="I593" s="422"/>
      <c r="J593" s="422"/>
      <c r="K593" s="422"/>
      <c r="L593" s="422"/>
      <c r="M593" s="422"/>
      <c r="N593" s="422"/>
      <c r="O593" s="422"/>
      <c r="P593" s="422"/>
      <c r="Q593" s="422"/>
      <c r="R593" s="422"/>
      <c r="S593" s="422"/>
      <c r="T593" s="422"/>
      <c r="U593" s="422"/>
      <c r="V593" s="422"/>
      <c r="W593" s="422"/>
      <c r="X593" s="422"/>
      <c r="Y593" s="422"/>
      <c r="Z593" s="422"/>
    </row>
    <row r="594" spans="1:26" ht="15" thickBot="1">
      <c r="A594" s="422"/>
      <c r="B594" s="422"/>
      <c r="C594" s="422"/>
      <c r="D594" s="422"/>
      <c r="E594" s="422"/>
      <c r="F594" s="422"/>
      <c r="G594" s="422"/>
      <c r="H594" s="422"/>
      <c r="I594" s="422"/>
      <c r="J594" s="422"/>
      <c r="K594" s="422"/>
      <c r="L594" s="422"/>
      <c r="M594" s="422"/>
      <c r="N594" s="422"/>
      <c r="O594" s="422"/>
      <c r="P594" s="422"/>
      <c r="Q594" s="422"/>
      <c r="R594" s="422"/>
      <c r="S594" s="422"/>
      <c r="T594" s="422"/>
      <c r="U594" s="422"/>
      <c r="V594" s="422"/>
      <c r="W594" s="422"/>
      <c r="X594" s="422"/>
      <c r="Y594" s="422"/>
      <c r="Z594" s="422"/>
    </row>
    <row r="595" spans="1:26" ht="15" thickBot="1">
      <c r="A595" s="422"/>
      <c r="B595" s="422"/>
      <c r="C595" s="422"/>
      <c r="D595" s="422"/>
      <c r="E595" s="422"/>
      <c r="F595" s="422"/>
      <c r="G595" s="422"/>
      <c r="H595" s="422"/>
      <c r="I595" s="422"/>
      <c r="J595" s="422"/>
      <c r="K595" s="422"/>
      <c r="L595" s="422"/>
      <c r="M595" s="422"/>
      <c r="N595" s="422"/>
      <c r="O595" s="422"/>
      <c r="P595" s="422"/>
      <c r="Q595" s="422"/>
      <c r="R595" s="422"/>
      <c r="S595" s="422"/>
      <c r="T595" s="422"/>
      <c r="U595" s="422"/>
      <c r="V595" s="422"/>
      <c r="W595" s="422"/>
      <c r="X595" s="422"/>
      <c r="Y595" s="422"/>
      <c r="Z595" s="422"/>
    </row>
    <row r="596" spans="1:26" ht="15" thickBot="1">
      <c r="A596" s="422"/>
      <c r="B596" s="422"/>
      <c r="C596" s="422"/>
      <c r="D596" s="422"/>
      <c r="E596" s="422"/>
      <c r="F596" s="422"/>
      <c r="G596" s="422"/>
      <c r="H596" s="422"/>
      <c r="I596" s="422"/>
      <c r="J596" s="422"/>
      <c r="K596" s="422"/>
      <c r="L596" s="422"/>
      <c r="M596" s="422"/>
      <c r="N596" s="422"/>
      <c r="O596" s="422"/>
      <c r="P596" s="422"/>
      <c r="Q596" s="422"/>
      <c r="R596" s="422"/>
      <c r="S596" s="422"/>
      <c r="T596" s="422"/>
      <c r="U596" s="422"/>
      <c r="V596" s="422"/>
      <c r="W596" s="422"/>
      <c r="X596" s="422"/>
      <c r="Y596" s="422"/>
      <c r="Z596" s="422"/>
    </row>
    <row r="597" spans="1:26" ht="15" thickBot="1">
      <c r="A597" s="422"/>
      <c r="B597" s="422"/>
      <c r="C597" s="422"/>
      <c r="D597" s="422"/>
      <c r="E597" s="422"/>
      <c r="F597" s="422"/>
      <c r="G597" s="422"/>
      <c r="H597" s="422"/>
      <c r="I597" s="422"/>
      <c r="J597" s="422"/>
      <c r="K597" s="422"/>
      <c r="L597" s="422"/>
      <c r="M597" s="422"/>
      <c r="N597" s="422"/>
      <c r="O597" s="422"/>
      <c r="P597" s="422"/>
      <c r="Q597" s="422"/>
      <c r="R597" s="422"/>
      <c r="S597" s="422"/>
      <c r="T597" s="422"/>
      <c r="U597" s="422"/>
      <c r="V597" s="422"/>
      <c r="W597" s="422"/>
      <c r="X597" s="422"/>
      <c r="Y597" s="422"/>
      <c r="Z597" s="422"/>
    </row>
    <row r="598" spans="1:26" ht="15" thickBot="1">
      <c r="A598" s="422"/>
      <c r="B598" s="422"/>
      <c r="C598" s="422"/>
      <c r="D598" s="422"/>
      <c r="E598" s="422"/>
      <c r="F598" s="422"/>
      <c r="G598" s="422"/>
      <c r="H598" s="422"/>
      <c r="I598" s="422"/>
      <c r="J598" s="422"/>
      <c r="K598" s="422"/>
      <c r="L598" s="422"/>
      <c r="M598" s="422"/>
      <c r="N598" s="422"/>
      <c r="O598" s="422"/>
      <c r="P598" s="422"/>
      <c r="Q598" s="422"/>
      <c r="R598" s="422"/>
      <c r="S598" s="422"/>
      <c r="T598" s="422"/>
      <c r="U598" s="422"/>
      <c r="V598" s="422"/>
      <c r="W598" s="422"/>
      <c r="X598" s="422"/>
      <c r="Y598" s="422"/>
      <c r="Z598" s="422"/>
    </row>
    <row r="599" spans="1:26" ht="15" thickBot="1">
      <c r="A599" s="422"/>
      <c r="B599" s="422"/>
      <c r="C599" s="422"/>
      <c r="D599" s="422"/>
      <c r="E599" s="422"/>
      <c r="F599" s="422"/>
      <c r="G599" s="422"/>
      <c r="H599" s="422"/>
      <c r="I599" s="422"/>
      <c r="J599" s="422"/>
      <c r="K599" s="422"/>
      <c r="L599" s="422"/>
      <c r="M599" s="422"/>
      <c r="N599" s="422"/>
      <c r="O599" s="422"/>
      <c r="P599" s="422"/>
      <c r="Q599" s="422"/>
      <c r="R599" s="422"/>
      <c r="S599" s="422"/>
      <c r="T599" s="422"/>
      <c r="U599" s="422"/>
      <c r="V599" s="422"/>
      <c r="W599" s="422"/>
      <c r="X599" s="422"/>
      <c r="Y599" s="422"/>
      <c r="Z599" s="422"/>
    </row>
    <row r="600" spans="1:26" ht="15" thickBot="1">
      <c r="A600" s="422"/>
      <c r="B600" s="422"/>
      <c r="C600" s="422"/>
      <c r="D600" s="422"/>
      <c r="E600" s="422"/>
      <c r="F600" s="422"/>
      <c r="G600" s="422"/>
      <c r="H600" s="422"/>
      <c r="I600" s="422"/>
      <c r="J600" s="422"/>
      <c r="K600" s="422"/>
      <c r="L600" s="422"/>
      <c r="M600" s="422"/>
      <c r="N600" s="422"/>
      <c r="O600" s="422"/>
      <c r="P600" s="422"/>
      <c r="Q600" s="422"/>
      <c r="R600" s="422"/>
      <c r="S600" s="422"/>
      <c r="T600" s="422"/>
      <c r="U600" s="422"/>
      <c r="V600" s="422"/>
      <c r="W600" s="422"/>
      <c r="X600" s="422"/>
      <c r="Y600" s="422"/>
      <c r="Z600" s="422"/>
    </row>
    <row r="601" spans="1:26" ht="15" thickBot="1">
      <c r="A601" s="422"/>
      <c r="B601" s="422"/>
      <c r="C601" s="422"/>
      <c r="D601" s="422"/>
      <c r="E601" s="422"/>
      <c r="F601" s="422"/>
      <c r="G601" s="422"/>
      <c r="H601" s="422"/>
      <c r="I601" s="422"/>
      <c r="J601" s="422"/>
      <c r="K601" s="422"/>
      <c r="L601" s="422"/>
      <c r="M601" s="422"/>
      <c r="N601" s="422"/>
      <c r="O601" s="422"/>
      <c r="P601" s="422"/>
      <c r="Q601" s="422"/>
      <c r="R601" s="422"/>
      <c r="S601" s="422"/>
      <c r="T601" s="422"/>
      <c r="U601" s="422"/>
      <c r="V601" s="422"/>
      <c r="W601" s="422"/>
      <c r="X601" s="422"/>
      <c r="Y601" s="422"/>
      <c r="Z601" s="422"/>
    </row>
    <row r="602" spans="1:26" ht="15" thickBot="1">
      <c r="A602" s="422"/>
      <c r="B602" s="422"/>
      <c r="C602" s="422"/>
      <c r="D602" s="422"/>
      <c r="E602" s="422"/>
      <c r="F602" s="422"/>
      <c r="G602" s="422"/>
      <c r="H602" s="422"/>
      <c r="I602" s="422"/>
      <c r="J602" s="422"/>
      <c r="K602" s="422"/>
      <c r="L602" s="422"/>
      <c r="M602" s="422"/>
      <c r="N602" s="422"/>
      <c r="O602" s="422"/>
      <c r="P602" s="422"/>
      <c r="Q602" s="422"/>
      <c r="R602" s="422"/>
      <c r="S602" s="422"/>
      <c r="T602" s="422"/>
      <c r="U602" s="422"/>
      <c r="V602" s="422"/>
      <c r="W602" s="422"/>
      <c r="X602" s="422"/>
      <c r="Y602" s="422"/>
      <c r="Z602" s="422"/>
    </row>
    <row r="603" spans="1:26" ht="15" thickBot="1">
      <c r="A603" s="422"/>
      <c r="B603" s="422"/>
      <c r="C603" s="422"/>
      <c r="D603" s="422"/>
      <c r="E603" s="422"/>
      <c r="F603" s="422"/>
      <c r="G603" s="422"/>
      <c r="H603" s="422"/>
      <c r="I603" s="422"/>
      <c r="J603" s="422"/>
      <c r="K603" s="422"/>
      <c r="L603" s="422"/>
      <c r="M603" s="422"/>
      <c r="N603" s="422"/>
      <c r="O603" s="422"/>
      <c r="P603" s="422"/>
      <c r="Q603" s="422"/>
      <c r="R603" s="422"/>
      <c r="S603" s="422"/>
      <c r="T603" s="422"/>
      <c r="U603" s="422"/>
      <c r="V603" s="422"/>
      <c r="W603" s="422"/>
      <c r="X603" s="422"/>
      <c r="Y603" s="422"/>
      <c r="Z603" s="422"/>
    </row>
    <row r="604" spans="1:26" ht="15" thickBot="1">
      <c r="A604" s="422"/>
      <c r="B604" s="422"/>
      <c r="C604" s="422"/>
      <c r="D604" s="422"/>
      <c r="E604" s="422"/>
      <c r="F604" s="422"/>
      <c r="G604" s="422"/>
      <c r="H604" s="422"/>
      <c r="I604" s="422"/>
      <c r="J604" s="422"/>
      <c r="K604" s="422"/>
      <c r="L604" s="422"/>
      <c r="M604" s="422"/>
      <c r="N604" s="422"/>
      <c r="O604" s="422"/>
      <c r="P604" s="422"/>
      <c r="Q604" s="422"/>
      <c r="R604" s="422"/>
      <c r="S604" s="422"/>
      <c r="T604" s="422"/>
      <c r="U604" s="422"/>
      <c r="V604" s="422"/>
      <c r="W604" s="422"/>
      <c r="X604" s="422"/>
      <c r="Y604" s="422"/>
      <c r="Z604" s="422"/>
    </row>
    <row r="605" spans="1:26" ht="15" thickBot="1">
      <c r="A605" s="422"/>
      <c r="B605" s="422"/>
      <c r="C605" s="422"/>
      <c r="D605" s="422"/>
      <c r="E605" s="422"/>
      <c r="F605" s="422"/>
      <c r="G605" s="422"/>
      <c r="H605" s="422"/>
      <c r="I605" s="422"/>
      <c r="J605" s="422"/>
      <c r="K605" s="422"/>
      <c r="L605" s="422"/>
      <c r="M605" s="422"/>
      <c r="N605" s="422"/>
      <c r="O605" s="422"/>
      <c r="P605" s="422"/>
      <c r="Q605" s="422"/>
      <c r="R605" s="422"/>
      <c r="S605" s="422"/>
      <c r="T605" s="422"/>
      <c r="U605" s="422"/>
      <c r="V605" s="422"/>
      <c r="W605" s="422"/>
      <c r="X605" s="422"/>
      <c r="Y605" s="422"/>
      <c r="Z605" s="422"/>
    </row>
    <row r="606" spans="1:26" ht="15" thickBot="1">
      <c r="A606" s="422"/>
      <c r="B606" s="422"/>
      <c r="C606" s="422"/>
      <c r="D606" s="422"/>
      <c r="E606" s="422"/>
      <c r="F606" s="422"/>
      <c r="G606" s="422"/>
      <c r="H606" s="422"/>
      <c r="I606" s="422"/>
      <c r="J606" s="422"/>
      <c r="K606" s="422"/>
      <c r="L606" s="422"/>
      <c r="M606" s="422"/>
      <c r="N606" s="422"/>
      <c r="O606" s="422"/>
      <c r="P606" s="422"/>
      <c r="Q606" s="422"/>
      <c r="R606" s="422"/>
      <c r="S606" s="422"/>
      <c r="T606" s="422"/>
      <c r="U606" s="422"/>
      <c r="V606" s="422"/>
      <c r="W606" s="422"/>
      <c r="X606" s="422"/>
      <c r="Y606" s="422"/>
      <c r="Z606" s="422"/>
    </row>
    <row r="607" spans="1:26" ht="15" thickBot="1">
      <c r="A607" s="422"/>
      <c r="B607" s="422"/>
      <c r="C607" s="422"/>
      <c r="D607" s="422"/>
      <c r="E607" s="422"/>
      <c r="F607" s="422"/>
      <c r="G607" s="422"/>
      <c r="H607" s="422"/>
      <c r="I607" s="422"/>
      <c r="J607" s="422"/>
      <c r="K607" s="422"/>
      <c r="L607" s="422"/>
      <c r="M607" s="422"/>
      <c r="N607" s="422"/>
      <c r="O607" s="422"/>
      <c r="P607" s="422"/>
      <c r="Q607" s="422"/>
      <c r="R607" s="422"/>
      <c r="S607" s="422"/>
      <c r="T607" s="422"/>
      <c r="U607" s="422"/>
      <c r="V607" s="422"/>
      <c r="W607" s="422"/>
      <c r="X607" s="422"/>
      <c r="Y607" s="422"/>
      <c r="Z607" s="422"/>
    </row>
    <row r="608" spans="1:26" ht="15" thickBot="1">
      <c r="A608" s="422"/>
      <c r="B608" s="422"/>
      <c r="C608" s="422"/>
      <c r="D608" s="422"/>
      <c r="E608" s="422"/>
      <c r="F608" s="422"/>
      <c r="G608" s="422"/>
      <c r="H608" s="422"/>
      <c r="I608" s="422"/>
      <c r="J608" s="422"/>
      <c r="K608" s="422"/>
      <c r="L608" s="422"/>
      <c r="M608" s="422"/>
      <c r="N608" s="422"/>
      <c r="O608" s="422"/>
      <c r="P608" s="422"/>
      <c r="Q608" s="422"/>
      <c r="R608" s="422"/>
      <c r="S608" s="422"/>
      <c r="T608" s="422"/>
      <c r="U608" s="422"/>
      <c r="V608" s="422"/>
      <c r="W608" s="422"/>
      <c r="X608" s="422"/>
      <c r="Y608" s="422"/>
      <c r="Z608" s="422"/>
    </row>
    <row r="609" spans="1:26" ht="15" thickBot="1">
      <c r="A609" s="422"/>
      <c r="B609" s="422"/>
      <c r="C609" s="422"/>
      <c r="D609" s="422"/>
      <c r="E609" s="422"/>
      <c r="F609" s="422"/>
      <c r="G609" s="422"/>
      <c r="H609" s="422"/>
      <c r="I609" s="422"/>
      <c r="J609" s="422"/>
      <c r="K609" s="422"/>
      <c r="L609" s="422"/>
      <c r="M609" s="422"/>
      <c r="N609" s="422"/>
      <c r="O609" s="422"/>
      <c r="P609" s="422"/>
      <c r="Q609" s="422"/>
      <c r="R609" s="422"/>
      <c r="S609" s="422"/>
      <c r="T609" s="422"/>
      <c r="U609" s="422"/>
      <c r="V609" s="422"/>
      <c r="W609" s="422"/>
      <c r="X609" s="422"/>
      <c r="Y609" s="422"/>
      <c r="Z609" s="422"/>
    </row>
    <row r="610" spans="1:26" ht="15" thickBot="1">
      <c r="A610" s="422"/>
      <c r="B610" s="422"/>
      <c r="C610" s="422"/>
      <c r="D610" s="422"/>
      <c r="E610" s="422"/>
      <c r="F610" s="422"/>
      <c r="G610" s="422"/>
      <c r="H610" s="422"/>
      <c r="I610" s="422"/>
      <c r="J610" s="422"/>
      <c r="K610" s="422"/>
      <c r="L610" s="422"/>
      <c r="M610" s="422"/>
      <c r="N610" s="422"/>
      <c r="O610" s="422"/>
      <c r="P610" s="422"/>
      <c r="Q610" s="422"/>
      <c r="R610" s="422"/>
      <c r="S610" s="422"/>
      <c r="T610" s="422"/>
      <c r="U610" s="422"/>
      <c r="V610" s="422"/>
      <c r="W610" s="422"/>
      <c r="X610" s="422"/>
      <c r="Y610" s="422"/>
      <c r="Z610" s="422"/>
    </row>
    <row r="611" spans="1:26" ht="15" thickBot="1">
      <c r="A611" s="422"/>
      <c r="B611" s="422"/>
      <c r="C611" s="422"/>
      <c r="D611" s="422"/>
      <c r="E611" s="422"/>
      <c r="F611" s="422"/>
      <c r="G611" s="422"/>
      <c r="H611" s="422"/>
      <c r="I611" s="422"/>
      <c r="J611" s="422"/>
      <c r="K611" s="422"/>
      <c r="L611" s="422"/>
      <c r="M611" s="422"/>
      <c r="N611" s="422"/>
      <c r="O611" s="422"/>
      <c r="P611" s="422"/>
      <c r="Q611" s="422"/>
      <c r="R611" s="422"/>
      <c r="S611" s="422"/>
      <c r="T611" s="422"/>
      <c r="U611" s="422"/>
      <c r="V611" s="422"/>
      <c r="W611" s="422"/>
      <c r="X611" s="422"/>
      <c r="Y611" s="422"/>
      <c r="Z611" s="422"/>
    </row>
    <row r="612" spans="1:26" ht="15" thickBot="1">
      <c r="A612" s="422"/>
      <c r="B612" s="422"/>
      <c r="C612" s="422"/>
      <c r="D612" s="422"/>
      <c r="E612" s="422"/>
      <c r="F612" s="422"/>
      <c r="G612" s="422"/>
      <c r="H612" s="422"/>
      <c r="I612" s="422"/>
      <c r="J612" s="422"/>
      <c r="K612" s="422"/>
      <c r="L612" s="422"/>
      <c r="M612" s="422"/>
      <c r="N612" s="422"/>
      <c r="O612" s="422"/>
      <c r="P612" s="422"/>
      <c r="Q612" s="422"/>
      <c r="R612" s="422"/>
      <c r="S612" s="422"/>
      <c r="T612" s="422"/>
      <c r="U612" s="422"/>
      <c r="V612" s="422"/>
      <c r="W612" s="422"/>
      <c r="X612" s="422"/>
      <c r="Y612" s="422"/>
      <c r="Z612" s="422"/>
    </row>
    <row r="613" spans="1:26" ht="15" thickBot="1">
      <c r="A613" s="422"/>
      <c r="B613" s="422"/>
      <c r="C613" s="422"/>
      <c r="D613" s="422"/>
      <c r="E613" s="422"/>
      <c r="F613" s="422"/>
      <c r="G613" s="422"/>
      <c r="H613" s="422"/>
      <c r="I613" s="422"/>
      <c r="J613" s="422"/>
      <c r="K613" s="422"/>
      <c r="L613" s="422"/>
      <c r="M613" s="422"/>
      <c r="N613" s="422"/>
      <c r="O613" s="422"/>
      <c r="P613" s="422"/>
      <c r="Q613" s="422"/>
      <c r="R613" s="422"/>
      <c r="S613" s="422"/>
      <c r="T613" s="422"/>
      <c r="U613" s="422"/>
      <c r="V613" s="422"/>
      <c r="W613" s="422"/>
      <c r="X613" s="422"/>
      <c r="Y613" s="422"/>
      <c r="Z613" s="422"/>
    </row>
    <row r="614" spans="1:26" ht="15" thickBot="1">
      <c r="A614" s="422"/>
      <c r="B614" s="422"/>
      <c r="C614" s="422"/>
      <c r="D614" s="422"/>
      <c r="E614" s="422"/>
      <c r="F614" s="422"/>
      <c r="G614" s="422"/>
      <c r="H614" s="422"/>
      <c r="I614" s="422"/>
      <c r="J614" s="422"/>
      <c r="K614" s="422"/>
      <c r="L614" s="422"/>
      <c r="M614" s="422"/>
      <c r="N614" s="422"/>
      <c r="O614" s="422"/>
      <c r="P614" s="422"/>
      <c r="Q614" s="422"/>
      <c r="R614" s="422"/>
      <c r="S614" s="422"/>
      <c r="T614" s="422"/>
      <c r="U614" s="422"/>
      <c r="V614" s="422"/>
      <c r="W614" s="422"/>
      <c r="X614" s="422"/>
      <c r="Y614" s="422"/>
      <c r="Z614" s="422"/>
    </row>
    <row r="615" spans="1:26" ht="15" thickBot="1">
      <c r="A615" s="422"/>
      <c r="B615" s="422"/>
      <c r="C615" s="422"/>
      <c r="D615" s="422"/>
      <c r="E615" s="422"/>
      <c r="F615" s="422"/>
      <c r="G615" s="422"/>
      <c r="H615" s="422"/>
      <c r="I615" s="422"/>
      <c r="J615" s="422"/>
      <c r="K615" s="422"/>
      <c r="L615" s="422"/>
      <c r="M615" s="422"/>
      <c r="N615" s="422"/>
      <c r="O615" s="422"/>
      <c r="P615" s="422"/>
      <c r="Q615" s="422"/>
      <c r="R615" s="422"/>
      <c r="S615" s="422"/>
      <c r="T615" s="422"/>
      <c r="U615" s="422"/>
      <c r="V615" s="422"/>
      <c r="W615" s="422"/>
      <c r="X615" s="422"/>
      <c r="Y615" s="422"/>
      <c r="Z615" s="422"/>
    </row>
    <row r="616" spans="1:26" ht="15" thickBot="1">
      <c r="A616" s="422"/>
      <c r="B616" s="422"/>
      <c r="C616" s="422"/>
      <c r="D616" s="422"/>
      <c r="E616" s="422"/>
      <c r="F616" s="422"/>
      <c r="G616" s="422"/>
      <c r="H616" s="422"/>
      <c r="I616" s="422"/>
      <c r="J616" s="422"/>
      <c r="K616" s="422"/>
      <c r="L616" s="422"/>
      <c r="M616" s="422"/>
      <c r="N616" s="422"/>
      <c r="O616" s="422"/>
      <c r="P616" s="422"/>
      <c r="Q616" s="422"/>
      <c r="R616" s="422"/>
      <c r="S616" s="422"/>
      <c r="T616" s="422"/>
      <c r="U616" s="422"/>
      <c r="V616" s="422"/>
      <c r="W616" s="422"/>
      <c r="X616" s="422"/>
      <c r="Y616" s="422"/>
      <c r="Z616" s="422"/>
    </row>
    <row r="617" spans="1:26" ht="15" thickBot="1">
      <c r="A617" s="422"/>
      <c r="B617" s="422"/>
      <c r="C617" s="422"/>
      <c r="D617" s="422"/>
      <c r="E617" s="422"/>
      <c r="F617" s="422"/>
      <c r="G617" s="422"/>
      <c r="H617" s="422"/>
      <c r="I617" s="422"/>
      <c r="J617" s="422"/>
      <c r="K617" s="422"/>
      <c r="L617" s="422"/>
      <c r="M617" s="422"/>
      <c r="N617" s="422"/>
      <c r="O617" s="422"/>
      <c r="P617" s="422"/>
      <c r="Q617" s="422"/>
      <c r="R617" s="422"/>
      <c r="S617" s="422"/>
      <c r="T617" s="422"/>
      <c r="U617" s="422"/>
      <c r="V617" s="422"/>
      <c r="W617" s="422"/>
      <c r="X617" s="422"/>
      <c r="Y617" s="422"/>
      <c r="Z617" s="422"/>
    </row>
    <row r="618" spans="1:26" ht="15" thickBot="1">
      <c r="A618" s="422"/>
      <c r="B618" s="422"/>
      <c r="C618" s="422"/>
      <c r="D618" s="422"/>
      <c r="E618" s="422"/>
      <c r="F618" s="422"/>
      <c r="G618" s="422"/>
      <c r="H618" s="422"/>
      <c r="I618" s="422"/>
      <c r="J618" s="422"/>
      <c r="K618" s="422"/>
      <c r="L618" s="422"/>
      <c r="M618" s="422"/>
      <c r="N618" s="422"/>
      <c r="O618" s="422"/>
      <c r="P618" s="422"/>
      <c r="Q618" s="422"/>
      <c r="R618" s="422"/>
      <c r="S618" s="422"/>
      <c r="T618" s="422"/>
      <c r="U618" s="422"/>
      <c r="V618" s="422"/>
      <c r="W618" s="422"/>
      <c r="X618" s="422"/>
      <c r="Y618" s="422"/>
      <c r="Z618" s="422"/>
    </row>
    <row r="619" spans="1:26" ht="15" thickBot="1">
      <c r="A619" s="422"/>
      <c r="B619" s="422"/>
      <c r="C619" s="422"/>
      <c r="D619" s="422"/>
      <c r="E619" s="422"/>
      <c r="F619" s="422"/>
      <c r="G619" s="422"/>
      <c r="H619" s="422"/>
      <c r="I619" s="422"/>
      <c r="J619" s="422"/>
      <c r="K619" s="422"/>
      <c r="L619" s="422"/>
      <c r="M619" s="422"/>
      <c r="N619" s="422"/>
      <c r="O619" s="422"/>
      <c r="P619" s="422"/>
      <c r="Q619" s="422"/>
      <c r="R619" s="422"/>
      <c r="S619" s="422"/>
      <c r="T619" s="422"/>
      <c r="U619" s="422"/>
      <c r="V619" s="422"/>
      <c r="W619" s="422"/>
      <c r="X619" s="422"/>
      <c r="Y619" s="422"/>
      <c r="Z619" s="422"/>
    </row>
    <row r="620" spans="1:26" ht="15" thickBot="1">
      <c r="A620" s="422"/>
      <c r="B620" s="422"/>
      <c r="C620" s="422"/>
      <c r="D620" s="422"/>
      <c r="E620" s="422"/>
      <c r="F620" s="422"/>
      <c r="G620" s="422"/>
      <c r="H620" s="422"/>
      <c r="I620" s="422"/>
      <c r="J620" s="422"/>
      <c r="K620" s="422"/>
      <c r="L620" s="422"/>
      <c r="M620" s="422"/>
      <c r="N620" s="422"/>
      <c r="O620" s="422"/>
      <c r="P620" s="422"/>
      <c r="Q620" s="422"/>
      <c r="R620" s="422"/>
      <c r="S620" s="422"/>
      <c r="T620" s="422"/>
      <c r="U620" s="422"/>
      <c r="V620" s="422"/>
      <c r="W620" s="422"/>
      <c r="X620" s="422"/>
      <c r="Y620" s="422"/>
      <c r="Z620" s="422"/>
    </row>
    <row r="621" spans="1:26" ht="15" thickBot="1">
      <c r="A621" s="422"/>
      <c r="B621" s="422"/>
      <c r="C621" s="422"/>
      <c r="D621" s="422"/>
      <c r="E621" s="422"/>
      <c r="F621" s="422"/>
      <c r="G621" s="422"/>
      <c r="H621" s="422"/>
      <c r="I621" s="422"/>
      <c r="J621" s="422"/>
      <c r="K621" s="422"/>
      <c r="L621" s="422"/>
      <c r="M621" s="422"/>
      <c r="N621" s="422"/>
      <c r="O621" s="422"/>
      <c r="P621" s="422"/>
      <c r="Q621" s="422"/>
      <c r="R621" s="422"/>
      <c r="S621" s="422"/>
      <c r="T621" s="422"/>
      <c r="U621" s="422"/>
      <c r="V621" s="422"/>
      <c r="W621" s="422"/>
      <c r="X621" s="422"/>
      <c r="Y621" s="422"/>
      <c r="Z621" s="422"/>
    </row>
    <row r="622" spans="1:26" ht="15" thickBot="1">
      <c r="A622" s="422"/>
      <c r="B622" s="422"/>
      <c r="C622" s="422"/>
      <c r="D622" s="422"/>
      <c r="E622" s="422"/>
      <c r="F622" s="422"/>
      <c r="G622" s="422"/>
      <c r="H622" s="422"/>
      <c r="I622" s="422"/>
      <c r="J622" s="422"/>
      <c r="K622" s="422"/>
      <c r="L622" s="422"/>
      <c r="M622" s="422"/>
      <c r="N622" s="422"/>
      <c r="O622" s="422"/>
      <c r="P622" s="422"/>
      <c r="Q622" s="422"/>
      <c r="R622" s="422"/>
      <c r="S622" s="422"/>
      <c r="T622" s="422"/>
      <c r="U622" s="422"/>
      <c r="V622" s="422"/>
      <c r="W622" s="422"/>
      <c r="X622" s="422"/>
      <c r="Y622" s="422"/>
      <c r="Z622" s="422"/>
    </row>
    <row r="623" spans="1:26" ht="15" thickBot="1">
      <c r="A623" s="422"/>
      <c r="B623" s="422"/>
      <c r="C623" s="422"/>
      <c r="D623" s="422"/>
      <c r="E623" s="422"/>
      <c r="F623" s="422"/>
      <c r="G623" s="422"/>
      <c r="H623" s="422"/>
      <c r="I623" s="422"/>
      <c r="J623" s="422"/>
      <c r="K623" s="422"/>
      <c r="L623" s="422"/>
      <c r="M623" s="422"/>
      <c r="N623" s="422"/>
      <c r="O623" s="422"/>
      <c r="P623" s="422"/>
      <c r="Q623" s="422"/>
      <c r="R623" s="422"/>
      <c r="S623" s="422"/>
      <c r="T623" s="422"/>
      <c r="U623" s="422"/>
      <c r="V623" s="422"/>
      <c r="W623" s="422"/>
      <c r="X623" s="422"/>
      <c r="Y623" s="422"/>
      <c r="Z623" s="422"/>
    </row>
    <row r="624" spans="1:26" ht="15" thickBot="1">
      <c r="A624" s="422"/>
      <c r="B624" s="422"/>
      <c r="C624" s="422"/>
      <c r="D624" s="422"/>
      <c r="E624" s="422"/>
      <c r="F624" s="422"/>
      <c r="G624" s="422"/>
      <c r="H624" s="422"/>
      <c r="I624" s="422"/>
      <c r="J624" s="422"/>
      <c r="K624" s="422"/>
      <c r="L624" s="422"/>
      <c r="M624" s="422"/>
      <c r="N624" s="422"/>
      <c r="O624" s="422"/>
      <c r="P624" s="422"/>
      <c r="Q624" s="422"/>
      <c r="R624" s="422"/>
      <c r="S624" s="422"/>
      <c r="T624" s="422"/>
      <c r="U624" s="422"/>
      <c r="V624" s="422"/>
      <c r="W624" s="422"/>
      <c r="X624" s="422"/>
      <c r="Y624" s="422"/>
      <c r="Z624" s="422"/>
    </row>
    <row r="625" spans="1:26" ht="15" thickBot="1">
      <c r="A625" s="422"/>
      <c r="B625" s="422"/>
      <c r="C625" s="422"/>
      <c r="D625" s="422"/>
      <c r="E625" s="422"/>
      <c r="F625" s="422"/>
      <c r="G625" s="422"/>
      <c r="H625" s="422"/>
      <c r="I625" s="422"/>
      <c r="J625" s="422"/>
      <c r="K625" s="422"/>
      <c r="L625" s="422"/>
      <c r="M625" s="422"/>
      <c r="N625" s="422"/>
      <c r="O625" s="422"/>
      <c r="P625" s="422"/>
      <c r="Q625" s="422"/>
      <c r="R625" s="422"/>
      <c r="S625" s="422"/>
      <c r="T625" s="422"/>
      <c r="U625" s="422"/>
      <c r="V625" s="422"/>
      <c r="W625" s="422"/>
      <c r="X625" s="422"/>
      <c r="Y625" s="422"/>
      <c r="Z625" s="422"/>
    </row>
    <row r="626" spans="1:26" ht="15" thickBot="1">
      <c r="A626" s="422"/>
      <c r="B626" s="422"/>
      <c r="C626" s="422"/>
      <c r="D626" s="422"/>
      <c r="E626" s="422"/>
      <c r="F626" s="422"/>
      <c r="G626" s="422"/>
      <c r="H626" s="422"/>
      <c r="I626" s="422"/>
      <c r="J626" s="422"/>
      <c r="K626" s="422"/>
      <c r="L626" s="422"/>
      <c r="M626" s="422"/>
      <c r="N626" s="422"/>
      <c r="O626" s="422"/>
      <c r="P626" s="422"/>
      <c r="Q626" s="422"/>
      <c r="R626" s="422"/>
      <c r="S626" s="422"/>
      <c r="T626" s="422"/>
      <c r="U626" s="422"/>
      <c r="V626" s="422"/>
      <c r="W626" s="422"/>
      <c r="X626" s="422"/>
      <c r="Y626" s="422"/>
      <c r="Z626" s="422"/>
    </row>
    <row r="627" spans="1:26" ht="15" thickBot="1">
      <c r="A627" s="422"/>
      <c r="B627" s="422"/>
      <c r="C627" s="422"/>
      <c r="D627" s="422"/>
      <c r="E627" s="422"/>
      <c r="F627" s="422"/>
      <c r="G627" s="422"/>
      <c r="H627" s="422"/>
      <c r="I627" s="422"/>
      <c r="J627" s="422"/>
      <c r="K627" s="422"/>
      <c r="L627" s="422"/>
      <c r="M627" s="422"/>
      <c r="N627" s="422"/>
      <c r="O627" s="422"/>
      <c r="P627" s="422"/>
      <c r="Q627" s="422"/>
      <c r="R627" s="422"/>
      <c r="S627" s="422"/>
      <c r="T627" s="422"/>
      <c r="U627" s="422"/>
      <c r="V627" s="422"/>
      <c r="W627" s="422"/>
      <c r="X627" s="422"/>
      <c r="Y627" s="422"/>
      <c r="Z627" s="422"/>
    </row>
    <row r="628" spans="1:26" ht="15" thickBot="1">
      <c r="A628" s="422"/>
      <c r="B628" s="422"/>
      <c r="C628" s="422"/>
      <c r="D628" s="422"/>
      <c r="E628" s="422"/>
      <c r="F628" s="422"/>
      <c r="G628" s="422"/>
      <c r="H628" s="422"/>
      <c r="I628" s="422"/>
      <c r="J628" s="422"/>
      <c r="K628" s="422"/>
      <c r="L628" s="422"/>
      <c r="M628" s="422"/>
      <c r="N628" s="422"/>
      <c r="O628" s="422"/>
      <c r="P628" s="422"/>
      <c r="Q628" s="422"/>
      <c r="R628" s="422"/>
      <c r="S628" s="422"/>
      <c r="T628" s="422"/>
      <c r="U628" s="422"/>
      <c r="V628" s="422"/>
      <c r="W628" s="422"/>
      <c r="X628" s="422"/>
      <c r="Y628" s="422"/>
      <c r="Z628" s="422"/>
    </row>
    <row r="629" spans="1:26" ht="15" thickBot="1">
      <c r="A629" s="422"/>
      <c r="B629" s="422"/>
      <c r="C629" s="422"/>
      <c r="D629" s="422"/>
      <c r="E629" s="422"/>
      <c r="F629" s="422"/>
      <c r="G629" s="422"/>
      <c r="H629" s="422"/>
      <c r="I629" s="422"/>
      <c r="J629" s="422"/>
      <c r="K629" s="422"/>
      <c r="L629" s="422"/>
      <c r="M629" s="422"/>
      <c r="N629" s="422"/>
      <c r="O629" s="422"/>
      <c r="P629" s="422"/>
      <c r="Q629" s="422"/>
      <c r="R629" s="422"/>
      <c r="S629" s="422"/>
      <c r="T629" s="422"/>
      <c r="U629" s="422"/>
      <c r="V629" s="422"/>
      <c r="W629" s="422"/>
      <c r="X629" s="422"/>
      <c r="Y629" s="422"/>
      <c r="Z629" s="422"/>
    </row>
    <row r="630" spans="1:26" ht="15" thickBot="1">
      <c r="A630" s="422"/>
      <c r="B630" s="422"/>
      <c r="C630" s="422"/>
      <c r="D630" s="422"/>
      <c r="E630" s="422"/>
      <c r="F630" s="422"/>
      <c r="G630" s="422"/>
      <c r="H630" s="422"/>
      <c r="I630" s="422"/>
      <c r="J630" s="422"/>
      <c r="K630" s="422"/>
      <c r="L630" s="422"/>
      <c r="M630" s="422"/>
      <c r="N630" s="422"/>
      <c r="O630" s="422"/>
      <c r="P630" s="422"/>
      <c r="Q630" s="422"/>
      <c r="R630" s="422"/>
      <c r="S630" s="422"/>
      <c r="T630" s="422"/>
      <c r="U630" s="422"/>
      <c r="V630" s="422"/>
      <c r="W630" s="422"/>
      <c r="X630" s="422"/>
      <c r="Y630" s="422"/>
      <c r="Z630" s="422"/>
    </row>
    <row r="631" spans="1:26" ht="15" thickBot="1">
      <c r="A631" s="422"/>
      <c r="B631" s="422"/>
      <c r="C631" s="422"/>
      <c r="D631" s="422"/>
      <c r="E631" s="422"/>
      <c r="F631" s="422"/>
      <c r="G631" s="422"/>
      <c r="H631" s="422"/>
      <c r="I631" s="422"/>
      <c r="J631" s="422"/>
      <c r="K631" s="422"/>
      <c r="L631" s="422"/>
      <c r="M631" s="422"/>
      <c r="N631" s="422"/>
      <c r="O631" s="422"/>
      <c r="P631" s="422"/>
      <c r="Q631" s="422"/>
      <c r="R631" s="422"/>
      <c r="S631" s="422"/>
      <c r="T631" s="422"/>
      <c r="U631" s="422"/>
      <c r="V631" s="422"/>
      <c r="W631" s="422"/>
      <c r="X631" s="422"/>
      <c r="Y631" s="422"/>
      <c r="Z631" s="422"/>
    </row>
    <row r="632" spans="1:26" ht="15" thickBot="1">
      <c r="A632" s="422"/>
      <c r="B632" s="422"/>
      <c r="C632" s="422"/>
      <c r="D632" s="422"/>
      <c r="E632" s="422"/>
      <c r="F632" s="422"/>
      <c r="G632" s="422"/>
      <c r="H632" s="422"/>
      <c r="I632" s="422"/>
      <c r="J632" s="422"/>
      <c r="K632" s="422"/>
      <c r="L632" s="422"/>
      <c r="M632" s="422"/>
      <c r="N632" s="422"/>
      <c r="O632" s="422"/>
      <c r="P632" s="422"/>
      <c r="Q632" s="422"/>
      <c r="R632" s="422"/>
      <c r="S632" s="422"/>
      <c r="T632" s="422"/>
      <c r="U632" s="422"/>
      <c r="V632" s="422"/>
      <c r="W632" s="422"/>
      <c r="X632" s="422"/>
      <c r="Y632" s="422"/>
      <c r="Z632" s="422"/>
    </row>
    <row r="633" spans="1:26" ht="15" thickBot="1">
      <c r="A633" s="422"/>
      <c r="B633" s="422"/>
      <c r="C633" s="422"/>
      <c r="D633" s="422"/>
      <c r="E633" s="422"/>
      <c r="F633" s="422"/>
      <c r="G633" s="422"/>
      <c r="H633" s="422"/>
      <c r="I633" s="422"/>
      <c r="J633" s="422"/>
      <c r="K633" s="422"/>
      <c r="L633" s="422"/>
      <c r="M633" s="422"/>
      <c r="N633" s="422"/>
      <c r="O633" s="422"/>
      <c r="P633" s="422"/>
      <c r="Q633" s="422"/>
      <c r="R633" s="422"/>
      <c r="S633" s="422"/>
      <c r="T633" s="422"/>
      <c r="U633" s="422"/>
      <c r="V633" s="422"/>
      <c r="W633" s="422"/>
      <c r="X633" s="422"/>
      <c r="Y633" s="422"/>
      <c r="Z633" s="422"/>
    </row>
    <row r="634" spans="1:26" ht="15" thickBot="1">
      <c r="A634" s="422"/>
      <c r="B634" s="422"/>
      <c r="C634" s="422"/>
      <c r="D634" s="422"/>
      <c r="E634" s="422"/>
      <c r="F634" s="422"/>
      <c r="G634" s="422"/>
      <c r="H634" s="422"/>
      <c r="I634" s="422"/>
      <c r="J634" s="422"/>
      <c r="K634" s="422"/>
      <c r="L634" s="422"/>
      <c r="M634" s="422"/>
      <c r="N634" s="422"/>
      <c r="O634" s="422"/>
      <c r="P634" s="422"/>
      <c r="Q634" s="422"/>
      <c r="R634" s="422"/>
      <c r="S634" s="422"/>
      <c r="T634" s="422"/>
      <c r="U634" s="422"/>
      <c r="V634" s="422"/>
      <c r="W634" s="422"/>
      <c r="X634" s="422"/>
      <c r="Y634" s="422"/>
      <c r="Z634" s="422"/>
    </row>
    <row r="635" spans="1:26" ht="15" thickBot="1">
      <c r="A635" s="422"/>
      <c r="B635" s="422"/>
      <c r="C635" s="422"/>
      <c r="D635" s="422"/>
      <c r="E635" s="422"/>
      <c r="F635" s="422"/>
      <c r="G635" s="422"/>
      <c r="H635" s="422"/>
      <c r="I635" s="422"/>
      <c r="J635" s="422"/>
      <c r="K635" s="422"/>
      <c r="L635" s="422"/>
      <c r="M635" s="422"/>
      <c r="N635" s="422"/>
      <c r="O635" s="422"/>
      <c r="P635" s="422"/>
      <c r="Q635" s="422"/>
      <c r="R635" s="422"/>
      <c r="S635" s="422"/>
      <c r="T635" s="422"/>
      <c r="U635" s="422"/>
      <c r="V635" s="422"/>
      <c r="W635" s="422"/>
      <c r="X635" s="422"/>
      <c r="Y635" s="422"/>
      <c r="Z635" s="422"/>
    </row>
    <row r="636" spans="1:26" ht="15" thickBot="1">
      <c r="A636" s="422"/>
      <c r="B636" s="422"/>
      <c r="C636" s="422"/>
      <c r="D636" s="422"/>
      <c r="E636" s="422"/>
      <c r="F636" s="422"/>
      <c r="G636" s="422"/>
      <c r="H636" s="422"/>
      <c r="I636" s="422"/>
      <c r="J636" s="422"/>
      <c r="K636" s="422"/>
      <c r="L636" s="422"/>
      <c r="M636" s="422"/>
      <c r="N636" s="422"/>
      <c r="O636" s="422"/>
      <c r="P636" s="422"/>
      <c r="Q636" s="422"/>
      <c r="R636" s="422"/>
      <c r="S636" s="422"/>
      <c r="T636" s="422"/>
      <c r="U636" s="422"/>
      <c r="V636" s="422"/>
      <c r="W636" s="422"/>
      <c r="X636" s="422"/>
      <c r="Y636" s="422"/>
      <c r="Z636" s="422"/>
    </row>
    <row r="637" spans="1:26" ht="15" thickBot="1">
      <c r="A637" s="422"/>
      <c r="B637" s="422"/>
      <c r="C637" s="422"/>
      <c r="D637" s="422"/>
      <c r="E637" s="422"/>
      <c r="F637" s="422"/>
      <c r="G637" s="422"/>
      <c r="H637" s="422"/>
      <c r="I637" s="422"/>
      <c r="J637" s="422"/>
      <c r="K637" s="422"/>
      <c r="L637" s="422"/>
      <c r="M637" s="422"/>
      <c r="N637" s="422"/>
      <c r="O637" s="422"/>
      <c r="P637" s="422"/>
      <c r="Q637" s="422"/>
      <c r="R637" s="422"/>
      <c r="S637" s="422"/>
      <c r="T637" s="422"/>
      <c r="U637" s="422"/>
      <c r="V637" s="422"/>
      <c r="W637" s="422"/>
      <c r="X637" s="422"/>
      <c r="Y637" s="422"/>
      <c r="Z637" s="422"/>
    </row>
    <row r="638" spans="1:26" ht="15" thickBot="1">
      <c r="A638" s="422"/>
      <c r="B638" s="422"/>
      <c r="C638" s="422"/>
      <c r="D638" s="422"/>
      <c r="E638" s="422"/>
      <c r="F638" s="422"/>
      <c r="G638" s="422"/>
      <c r="H638" s="422"/>
      <c r="I638" s="422"/>
      <c r="J638" s="422"/>
      <c r="K638" s="422"/>
      <c r="L638" s="422"/>
      <c r="M638" s="422"/>
      <c r="N638" s="422"/>
      <c r="O638" s="422"/>
      <c r="P638" s="422"/>
      <c r="Q638" s="422"/>
      <c r="R638" s="422"/>
      <c r="S638" s="422"/>
      <c r="T638" s="422"/>
      <c r="U638" s="422"/>
      <c r="V638" s="422"/>
      <c r="W638" s="422"/>
      <c r="X638" s="422"/>
      <c r="Y638" s="422"/>
      <c r="Z638" s="422"/>
    </row>
    <row r="639" spans="1:26" ht="15" thickBot="1">
      <c r="A639" s="422"/>
      <c r="B639" s="422"/>
      <c r="C639" s="422"/>
      <c r="D639" s="422"/>
      <c r="E639" s="422"/>
      <c r="F639" s="422"/>
      <c r="G639" s="422"/>
      <c r="H639" s="422"/>
      <c r="I639" s="422"/>
      <c r="J639" s="422"/>
      <c r="K639" s="422"/>
      <c r="L639" s="422"/>
      <c r="M639" s="422"/>
      <c r="N639" s="422"/>
      <c r="O639" s="422"/>
      <c r="P639" s="422"/>
      <c r="Q639" s="422"/>
      <c r="R639" s="422"/>
      <c r="S639" s="422"/>
      <c r="T639" s="422"/>
      <c r="U639" s="422"/>
      <c r="V639" s="422"/>
      <c r="W639" s="422"/>
      <c r="X639" s="422"/>
      <c r="Y639" s="422"/>
      <c r="Z639" s="422"/>
    </row>
    <row r="640" spans="1:26" ht="15" thickBot="1">
      <c r="A640" s="422"/>
      <c r="B640" s="422"/>
      <c r="C640" s="422"/>
      <c r="D640" s="422"/>
      <c r="E640" s="422"/>
      <c r="F640" s="422"/>
      <c r="G640" s="422"/>
      <c r="H640" s="422"/>
      <c r="I640" s="422"/>
      <c r="J640" s="422"/>
      <c r="K640" s="422"/>
      <c r="L640" s="422"/>
      <c r="M640" s="422"/>
      <c r="N640" s="422"/>
      <c r="O640" s="422"/>
      <c r="P640" s="422"/>
      <c r="Q640" s="422"/>
      <c r="R640" s="422"/>
      <c r="S640" s="422"/>
      <c r="T640" s="422"/>
      <c r="U640" s="422"/>
      <c r="V640" s="422"/>
      <c r="W640" s="422"/>
      <c r="X640" s="422"/>
      <c r="Y640" s="422"/>
      <c r="Z640" s="422"/>
    </row>
    <row r="641" spans="1:26" ht="15" thickBot="1">
      <c r="A641" s="422"/>
      <c r="B641" s="422"/>
      <c r="C641" s="422"/>
      <c r="D641" s="422"/>
      <c r="E641" s="422"/>
      <c r="F641" s="422"/>
      <c r="G641" s="422"/>
      <c r="H641" s="422"/>
      <c r="I641" s="422"/>
      <c r="J641" s="422"/>
      <c r="K641" s="422"/>
      <c r="L641" s="422"/>
      <c r="M641" s="422"/>
      <c r="N641" s="422"/>
      <c r="O641" s="422"/>
      <c r="P641" s="422"/>
      <c r="Q641" s="422"/>
      <c r="R641" s="422"/>
      <c r="S641" s="422"/>
      <c r="T641" s="422"/>
      <c r="U641" s="422"/>
      <c r="V641" s="422"/>
      <c r="W641" s="422"/>
      <c r="X641" s="422"/>
      <c r="Y641" s="422"/>
      <c r="Z641" s="422"/>
    </row>
    <row r="642" spans="1:26" ht="15" thickBot="1">
      <c r="A642" s="422"/>
      <c r="B642" s="422"/>
      <c r="C642" s="422"/>
      <c r="D642" s="422"/>
      <c r="E642" s="422"/>
      <c r="F642" s="422"/>
      <c r="G642" s="422"/>
      <c r="H642" s="422"/>
      <c r="I642" s="422"/>
      <c r="J642" s="422"/>
      <c r="K642" s="422"/>
      <c r="L642" s="422"/>
      <c r="M642" s="422"/>
      <c r="N642" s="422"/>
      <c r="O642" s="422"/>
      <c r="P642" s="422"/>
      <c r="Q642" s="422"/>
      <c r="R642" s="422"/>
      <c r="S642" s="422"/>
      <c r="T642" s="422"/>
      <c r="U642" s="422"/>
      <c r="V642" s="422"/>
      <c r="W642" s="422"/>
      <c r="X642" s="422"/>
      <c r="Y642" s="422"/>
      <c r="Z642" s="422"/>
    </row>
    <row r="643" spans="1:26" ht="15" thickBot="1">
      <c r="A643" s="422"/>
      <c r="B643" s="422"/>
      <c r="C643" s="422"/>
      <c r="D643" s="422"/>
      <c r="E643" s="422"/>
      <c r="F643" s="422"/>
      <c r="G643" s="422"/>
      <c r="H643" s="422"/>
      <c r="I643" s="422"/>
      <c r="J643" s="422"/>
      <c r="K643" s="422"/>
      <c r="L643" s="422"/>
      <c r="M643" s="422"/>
      <c r="N643" s="422"/>
      <c r="O643" s="422"/>
      <c r="P643" s="422"/>
      <c r="Q643" s="422"/>
      <c r="R643" s="422"/>
      <c r="S643" s="422"/>
      <c r="T643" s="422"/>
      <c r="U643" s="422"/>
      <c r="V643" s="422"/>
      <c r="W643" s="422"/>
      <c r="X643" s="422"/>
      <c r="Y643" s="422"/>
      <c r="Z643" s="422"/>
    </row>
    <row r="644" spans="1:26" ht="15" thickBot="1">
      <c r="A644" s="422"/>
      <c r="B644" s="422"/>
      <c r="C644" s="422"/>
      <c r="D644" s="422"/>
      <c r="E644" s="422"/>
      <c r="F644" s="422"/>
      <c r="G644" s="422"/>
      <c r="H644" s="422"/>
      <c r="I644" s="422"/>
      <c r="J644" s="422"/>
      <c r="K644" s="422"/>
      <c r="L644" s="422"/>
      <c r="M644" s="422"/>
      <c r="N644" s="422"/>
      <c r="O644" s="422"/>
      <c r="P644" s="422"/>
      <c r="Q644" s="422"/>
      <c r="R644" s="422"/>
      <c r="S644" s="422"/>
      <c r="T644" s="422"/>
      <c r="U644" s="422"/>
      <c r="V644" s="422"/>
      <c r="W644" s="422"/>
      <c r="X644" s="422"/>
      <c r="Y644" s="422"/>
      <c r="Z644" s="422"/>
    </row>
    <row r="645" spans="1:26" ht="15" thickBot="1">
      <c r="A645" s="422"/>
      <c r="B645" s="422"/>
      <c r="C645" s="422"/>
      <c r="D645" s="422"/>
      <c r="E645" s="422"/>
      <c r="F645" s="422"/>
      <c r="G645" s="422"/>
      <c r="H645" s="422"/>
      <c r="I645" s="422"/>
      <c r="J645" s="422"/>
      <c r="K645" s="422"/>
      <c r="L645" s="422"/>
      <c r="M645" s="422"/>
      <c r="N645" s="422"/>
      <c r="O645" s="422"/>
      <c r="P645" s="422"/>
      <c r="Q645" s="422"/>
      <c r="R645" s="422"/>
      <c r="S645" s="422"/>
      <c r="T645" s="422"/>
      <c r="U645" s="422"/>
      <c r="V645" s="422"/>
      <c r="W645" s="422"/>
      <c r="X645" s="422"/>
      <c r="Y645" s="422"/>
      <c r="Z645" s="422"/>
    </row>
    <row r="646" spans="1:26" ht="15" thickBot="1">
      <c r="A646" s="422"/>
      <c r="B646" s="422"/>
      <c r="C646" s="422"/>
      <c r="D646" s="422"/>
      <c r="E646" s="422"/>
      <c r="F646" s="422"/>
      <c r="G646" s="422"/>
      <c r="H646" s="422"/>
      <c r="I646" s="422"/>
      <c r="J646" s="422"/>
      <c r="K646" s="422"/>
      <c r="L646" s="422"/>
      <c r="M646" s="422"/>
      <c r="N646" s="422"/>
      <c r="O646" s="422"/>
      <c r="P646" s="422"/>
      <c r="Q646" s="422"/>
      <c r="R646" s="422"/>
      <c r="S646" s="422"/>
      <c r="T646" s="422"/>
      <c r="U646" s="422"/>
      <c r="V646" s="422"/>
      <c r="W646" s="422"/>
      <c r="X646" s="422"/>
      <c r="Y646" s="422"/>
      <c r="Z646" s="422"/>
    </row>
    <row r="647" spans="1:26" ht="15" thickBot="1">
      <c r="A647" s="422"/>
      <c r="B647" s="422"/>
      <c r="C647" s="422"/>
      <c r="D647" s="422"/>
      <c r="E647" s="422"/>
      <c r="F647" s="422"/>
      <c r="G647" s="422"/>
      <c r="H647" s="422"/>
      <c r="I647" s="422"/>
      <c r="J647" s="422"/>
      <c r="K647" s="422"/>
      <c r="L647" s="422"/>
      <c r="M647" s="422"/>
      <c r="N647" s="422"/>
      <c r="O647" s="422"/>
      <c r="P647" s="422"/>
      <c r="Q647" s="422"/>
      <c r="R647" s="422"/>
      <c r="S647" s="422"/>
      <c r="T647" s="422"/>
      <c r="U647" s="422"/>
      <c r="V647" s="422"/>
      <c r="W647" s="422"/>
      <c r="X647" s="422"/>
      <c r="Y647" s="422"/>
      <c r="Z647" s="422"/>
    </row>
    <row r="648" spans="1:26" ht="15" thickBot="1">
      <c r="A648" s="422"/>
      <c r="B648" s="422"/>
      <c r="C648" s="422"/>
      <c r="D648" s="422"/>
      <c r="E648" s="422"/>
      <c r="F648" s="422"/>
      <c r="G648" s="422"/>
      <c r="H648" s="422"/>
      <c r="I648" s="422"/>
      <c r="J648" s="422"/>
      <c r="K648" s="422"/>
      <c r="L648" s="422"/>
      <c r="M648" s="422"/>
      <c r="N648" s="422"/>
      <c r="O648" s="422"/>
      <c r="P648" s="422"/>
      <c r="Q648" s="422"/>
      <c r="R648" s="422"/>
      <c r="S648" s="422"/>
      <c r="T648" s="422"/>
      <c r="U648" s="422"/>
      <c r="V648" s="422"/>
      <c r="W648" s="422"/>
      <c r="X648" s="422"/>
      <c r="Y648" s="422"/>
      <c r="Z648" s="422"/>
    </row>
    <row r="649" spans="1:26" ht="15" thickBot="1">
      <c r="A649" s="422"/>
      <c r="B649" s="422"/>
      <c r="C649" s="422"/>
      <c r="D649" s="422"/>
      <c r="E649" s="422"/>
      <c r="F649" s="422"/>
      <c r="G649" s="422"/>
      <c r="H649" s="422"/>
      <c r="I649" s="422"/>
      <c r="J649" s="422"/>
      <c r="K649" s="422"/>
      <c r="L649" s="422"/>
      <c r="M649" s="422"/>
      <c r="N649" s="422"/>
      <c r="O649" s="422"/>
      <c r="P649" s="422"/>
      <c r="Q649" s="422"/>
      <c r="R649" s="422"/>
      <c r="S649" s="422"/>
      <c r="T649" s="422"/>
      <c r="U649" s="422"/>
      <c r="V649" s="422"/>
      <c r="W649" s="422"/>
      <c r="X649" s="422"/>
      <c r="Y649" s="422"/>
      <c r="Z649" s="422"/>
    </row>
    <row r="650" spans="1:26" ht="15" thickBot="1">
      <c r="A650" s="422"/>
      <c r="B650" s="422"/>
      <c r="C650" s="422"/>
      <c r="D650" s="422"/>
      <c r="E650" s="422"/>
      <c r="F650" s="422"/>
      <c r="G650" s="422"/>
      <c r="H650" s="422"/>
      <c r="I650" s="422"/>
      <c r="J650" s="422"/>
      <c r="K650" s="422"/>
      <c r="L650" s="422"/>
      <c r="M650" s="422"/>
      <c r="N650" s="422"/>
      <c r="O650" s="422"/>
      <c r="P650" s="422"/>
      <c r="Q650" s="422"/>
      <c r="R650" s="422"/>
      <c r="S650" s="422"/>
      <c r="T650" s="422"/>
      <c r="U650" s="422"/>
      <c r="V650" s="422"/>
      <c r="W650" s="422"/>
      <c r="X650" s="422"/>
      <c r="Y650" s="422"/>
      <c r="Z650" s="422"/>
    </row>
    <row r="651" spans="1:26" ht="15" thickBot="1">
      <c r="A651" s="422"/>
      <c r="B651" s="422"/>
      <c r="C651" s="422"/>
      <c r="D651" s="422"/>
      <c r="E651" s="422"/>
      <c r="F651" s="422"/>
      <c r="G651" s="422"/>
      <c r="H651" s="422"/>
      <c r="I651" s="422"/>
      <c r="J651" s="422"/>
      <c r="K651" s="422"/>
      <c r="L651" s="422"/>
      <c r="M651" s="422"/>
      <c r="N651" s="422"/>
      <c r="O651" s="422"/>
      <c r="P651" s="422"/>
      <c r="Q651" s="422"/>
      <c r="R651" s="422"/>
      <c r="S651" s="422"/>
      <c r="T651" s="422"/>
      <c r="U651" s="422"/>
      <c r="V651" s="422"/>
      <c r="W651" s="422"/>
      <c r="X651" s="422"/>
      <c r="Y651" s="422"/>
      <c r="Z651" s="422"/>
    </row>
    <row r="652" spans="1:26" ht="15" thickBot="1">
      <c r="A652" s="422"/>
      <c r="B652" s="422"/>
      <c r="C652" s="422"/>
      <c r="D652" s="422"/>
      <c r="E652" s="422"/>
      <c r="F652" s="422"/>
      <c r="G652" s="422"/>
      <c r="H652" s="422"/>
      <c r="I652" s="422"/>
      <c r="J652" s="422"/>
      <c r="K652" s="422"/>
      <c r="L652" s="422"/>
      <c r="M652" s="422"/>
      <c r="N652" s="422"/>
      <c r="O652" s="422"/>
      <c r="P652" s="422"/>
      <c r="Q652" s="422"/>
      <c r="R652" s="422"/>
      <c r="S652" s="422"/>
      <c r="T652" s="422"/>
      <c r="U652" s="422"/>
      <c r="V652" s="422"/>
      <c r="W652" s="422"/>
      <c r="X652" s="422"/>
      <c r="Y652" s="422"/>
      <c r="Z652" s="422"/>
    </row>
    <row r="653" spans="1:26" ht="15" thickBot="1">
      <c r="A653" s="422"/>
      <c r="B653" s="422"/>
      <c r="C653" s="422"/>
      <c r="D653" s="422"/>
      <c r="E653" s="422"/>
      <c r="F653" s="422"/>
      <c r="G653" s="422"/>
      <c r="H653" s="422"/>
      <c r="I653" s="422"/>
      <c r="J653" s="422"/>
      <c r="K653" s="422"/>
      <c r="L653" s="422"/>
      <c r="M653" s="422"/>
      <c r="N653" s="422"/>
      <c r="O653" s="422"/>
      <c r="P653" s="422"/>
      <c r="Q653" s="422"/>
      <c r="R653" s="422"/>
      <c r="S653" s="422"/>
      <c r="T653" s="422"/>
      <c r="U653" s="422"/>
      <c r="V653" s="422"/>
      <c r="W653" s="422"/>
      <c r="X653" s="422"/>
      <c r="Y653" s="422"/>
      <c r="Z653" s="422"/>
    </row>
    <row r="654" spans="1:26" ht="15" thickBot="1">
      <c r="A654" s="422"/>
      <c r="B654" s="422"/>
      <c r="C654" s="422"/>
      <c r="D654" s="422"/>
      <c r="E654" s="422"/>
      <c r="F654" s="422"/>
      <c r="G654" s="422"/>
      <c r="H654" s="422"/>
      <c r="I654" s="422"/>
      <c r="J654" s="422"/>
      <c r="K654" s="422"/>
      <c r="L654" s="422"/>
      <c r="M654" s="422"/>
      <c r="N654" s="422"/>
      <c r="O654" s="422"/>
      <c r="P654" s="422"/>
      <c r="Q654" s="422"/>
      <c r="R654" s="422"/>
      <c r="S654" s="422"/>
      <c r="T654" s="422"/>
      <c r="U654" s="422"/>
      <c r="V654" s="422"/>
      <c r="W654" s="422"/>
      <c r="X654" s="422"/>
      <c r="Y654" s="422"/>
      <c r="Z654" s="422"/>
    </row>
    <row r="655" spans="1:26" ht="15" thickBot="1">
      <c r="A655" s="422"/>
      <c r="B655" s="422"/>
      <c r="C655" s="422"/>
      <c r="D655" s="422"/>
      <c r="E655" s="422"/>
      <c r="F655" s="422"/>
      <c r="G655" s="422"/>
      <c r="H655" s="422"/>
      <c r="I655" s="422"/>
      <c r="J655" s="422"/>
      <c r="K655" s="422"/>
      <c r="L655" s="422"/>
      <c r="M655" s="422"/>
      <c r="N655" s="422"/>
      <c r="O655" s="422"/>
      <c r="P655" s="422"/>
      <c r="Q655" s="422"/>
      <c r="R655" s="422"/>
      <c r="S655" s="422"/>
      <c r="T655" s="422"/>
      <c r="U655" s="422"/>
      <c r="V655" s="422"/>
      <c r="W655" s="422"/>
      <c r="X655" s="422"/>
      <c r="Y655" s="422"/>
      <c r="Z655" s="422"/>
    </row>
    <row r="656" spans="1:26" ht="15" thickBot="1">
      <c r="A656" s="422"/>
      <c r="B656" s="422"/>
      <c r="C656" s="422"/>
      <c r="D656" s="422"/>
      <c r="E656" s="422"/>
      <c r="F656" s="422"/>
      <c r="G656" s="422"/>
      <c r="H656" s="422"/>
      <c r="I656" s="422"/>
      <c r="J656" s="422"/>
      <c r="K656" s="422"/>
      <c r="L656" s="422"/>
      <c r="M656" s="422"/>
      <c r="N656" s="422"/>
      <c r="O656" s="422"/>
      <c r="P656" s="422"/>
      <c r="Q656" s="422"/>
      <c r="R656" s="422"/>
      <c r="S656" s="422"/>
      <c r="T656" s="422"/>
      <c r="U656" s="422"/>
      <c r="V656" s="422"/>
      <c r="W656" s="422"/>
      <c r="X656" s="422"/>
      <c r="Y656" s="422"/>
      <c r="Z656" s="422"/>
    </row>
    <row r="657" spans="1:26" ht="15" thickBot="1">
      <c r="A657" s="422"/>
      <c r="B657" s="422"/>
      <c r="C657" s="422"/>
      <c r="D657" s="422"/>
      <c r="E657" s="422"/>
      <c r="F657" s="422"/>
      <c r="G657" s="422"/>
      <c r="H657" s="422"/>
      <c r="I657" s="422"/>
      <c r="J657" s="422"/>
      <c r="K657" s="422"/>
      <c r="L657" s="422"/>
      <c r="M657" s="422"/>
      <c r="N657" s="422"/>
      <c r="O657" s="422"/>
      <c r="P657" s="422"/>
      <c r="Q657" s="422"/>
      <c r="R657" s="422"/>
      <c r="S657" s="422"/>
      <c r="T657" s="422"/>
      <c r="U657" s="422"/>
      <c r="V657" s="422"/>
      <c r="W657" s="422"/>
      <c r="X657" s="422"/>
      <c r="Y657" s="422"/>
      <c r="Z657" s="422"/>
    </row>
    <row r="658" spans="1:26" ht="15" thickBot="1">
      <c r="A658" s="422"/>
      <c r="B658" s="422"/>
      <c r="C658" s="422"/>
      <c r="D658" s="422"/>
      <c r="E658" s="422"/>
      <c r="F658" s="422"/>
      <c r="G658" s="422"/>
      <c r="H658" s="422"/>
      <c r="I658" s="422"/>
      <c r="J658" s="422"/>
      <c r="K658" s="422"/>
      <c r="L658" s="422"/>
      <c r="M658" s="422"/>
      <c r="N658" s="422"/>
      <c r="O658" s="422"/>
      <c r="P658" s="422"/>
      <c r="Q658" s="422"/>
      <c r="R658" s="422"/>
      <c r="S658" s="422"/>
      <c r="T658" s="422"/>
      <c r="U658" s="422"/>
      <c r="V658" s="422"/>
      <c r="W658" s="422"/>
      <c r="X658" s="422"/>
      <c r="Y658" s="422"/>
      <c r="Z658" s="422"/>
    </row>
    <row r="659" spans="1:26" ht="15" thickBot="1">
      <c r="A659" s="422"/>
      <c r="B659" s="422"/>
      <c r="C659" s="422"/>
      <c r="D659" s="422"/>
      <c r="E659" s="422"/>
      <c r="F659" s="422"/>
      <c r="G659" s="422"/>
      <c r="H659" s="422"/>
      <c r="I659" s="422"/>
      <c r="J659" s="422"/>
      <c r="K659" s="422"/>
      <c r="L659" s="422"/>
      <c r="M659" s="422"/>
      <c r="N659" s="422"/>
      <c r="O659" s="422"/>
      <c r="P659" s="422"/>
      <c r="Q659" s="422"/>
      <c r="R659" s="422"/>
      <c r="S659" s="422"/>
      <c r="T659" s="422"/>
      <c r="U659" s="422"/>
      <c r="V659" s="422"/>
      <c r="W659" s="422"/>
      <c r="X659" s="422"/>
      <c r="Y659" s="422"/>
      <c r="Z659" s="422"/>
    </row>
    <row r="660" spans="1:26" ht="15" thickBot="1">
      <c r="A660" s="422"/>
      <c r="B660" s="422"/>
      <c r="C660" s="422"/>
      <c r="D660" s="422"/>
      <c r="E660" s="422"/>
      <c r="F660" s="422"/>
      <c r="G660" s="422"/>
      <c r="H660" s="422"/>
      <c r="I660" s="422"/>
      <c r="J660" s="422"/>
      <c r="K660" s="422"/>
      <c r="L660" s="422"/>
      <c r="M660" s="422"/>
      <c r="N660" s="422"/>
      <c r="O660" s="422"/>
      <c r="P660" s="422"/>
      <c r="Q660" s="422"/>
      <c r="R660" s="422"/>
      <c r="S660" s="422"/>
      <c r="T660" s="422"/>
      <c r="U660" s="422"/>
      <c r="V660" s="422"/>
      <c r="W660" s="422"/>
      <c r="X660" s="422"/>
      <c r="Y660" s="422"/>
      <c r="Z660" s="422"/>
    </row>
    <row r="661" spans="1:26" ht="15" thickBot="1">
      <c r="A661" s="422"/>
      <c r="B661" s="422"/>
      <c r="C661" s="422"/>
      <c r="D661" s="422"/>
      <c r="E661" s="422"/>
      <c r="F661" s="422"/>
      <c r="G661" s="422"/>
      <c r="H661" s="422"/>
      <c r="I661" s="422"/>
      <c r="J661" s="422"/>
      <c r="K661" s="422"/>
      <c r="L661" s="422"/>
      <c r="M661" s="422"/>
      <c r="N661" s="422"/>
      <c r="O661" s="422"/>
      <c r="P661" s="422"/>
      <c r="Q661" s="422"/>
      <c r="R661" s="422"/>
      <c r="S661" s="422"/>
      <c r="T661" s="422"/>
      <c r="U661" s="422"/>
      <c r="V661" s="422"/>
      <c r="W661" s="422"/>
      <c r="X661" s="422"/>
      <c r="Y661" s="422"/>
      <c r="Z661" s="422"/>
    </row>
    <row r="662" spans="1:26" ht="15" thickBot="1">
      <c r="A662" s="422"/>
      <c r="B662" s="422"/>
      <c r="C662" s="422"/>
      <c r="D662" s="422"/>
      <c r="E662" s="422"/>
      <c r="F662" s="422"/>
      <c r="G662" s="422"/>
      <c r="H662" s="422"/>
      <c r="I662" s="422"/>
      <c r="J662" s="422"/>
      <c r="K662" s="422"/>
      <c r="L662" s="422"/>
      <c r="M662" s="422"/>
      <c r="N662" s="422"/>
      <c r="O662" s="422"/>
      <c r="P662" s="422"/>
      <c r="Q662" s="422"/>
      <c r="R662" s="422"/>
      <c r="S662" s="422"/>
      <c r="T662" s="422"/>
      <c r="U662" s="422"/>
      <c r="V662" s="422"/>
      <c r="W662" s="422"/>
      <c r="X662" s="422"/>
      <c r="Y662" s="422"/>
      <c r="Z662" s="422"/>
    </row>
    <row r="663" spans="1:26" ht="15" thickBot="1">
      <c r="A663" s="422"/>
      <c r="B663" s="422"/>
      <c r="C663" s="422"/>
      <c r="D663" s="422"/>
      <c r="E663" s="422"/>
      <c r="F663" s="422"/>
      <c r="G663" s="422"/>
      <c r="H663" s="422"/>
      <c r="I663" s="422"/>
      <c r="J663" s="422"/>
      <c r="K663" s="422"/>
      <c r="L663" s="422"/>
      <c r="M663" s="422"/>
      <c r="N663" s="422"/>
      <c r="O663" s="422"/>
      <c r="P663" s="422"/>
      <c r="Q663" s="422"/>
      <c r="R663" s="422"/>
      <c r="S663" s="422"/>
      <c r="T663" s="422"/>
      <c r="U663" s="422"/>
      <c r="V663" s="422"/>
      <c r="W663" s="422"/>
      <c r="X663" s="422"/>
      <c r="Y663" s="422"/>
      <c r="Z663" s="422"/>
    </row>
    <row r="664" spans="1:26" ht="15" thickBot="1">
      <c r="A664" s="422"/>
      <c r="B664" s="422"/>
      <c r="C664" s="422"/>
      <c r="D664" s="422"/>
      <c r="E664" s="422"/>
      <c r="F664" s="422"/>
      <c r="G664" s="422"/>
      <c r="H664" s="422"/>
      <c r="I664" s="422"/>
      <c r="J664" s="422"/>
      <c r="K664" s="422"/>
      <c r="L664" s="422"/>
      <c r="M664" s="422"/>
      <c r="N664" s="422"/>
      <c r="O664" s="422"/>
      <c r="P664" s="422"/>
      <c r="Q664" s="422"/>
      <c r="R664" s="422"/>
      <c r="S664" s="422"/>
      <c r="T664" s="422"/>
      <c r="U664" s="422"/>
      <c r="V664" s="422"/>
      <c r="W664" s="422"/>
      <c r="X664" s="422"/>
      <c r="Y664" s="422"/>
      <c r="Z664" s="422"/>
    </row>
    <row r="665" spans="1:26" ht="15" thickBot="1">
      <c r="A665" s="422"/>
      <c r="B665" s="422"/>
      <c r="C665" s="422"/>
      <c r="D665" s="422"/>
      <c r="E665" s="422"/>
      <c r="F665" s="422"/>
      <c r="G665" s="422"/>
      <c r="H665" s="422"/>
      <c r="I665" s="422"/>
      <c r="J665" s="422"/>
      <c r="K665" s="422"/>
      <c r="L665" s="422"/>
      <c r="M665" s="422"/>
      <c r="N665" s="422"/>
      <c r="O665" s="422"/>
      <c r="P665" s="422"/>
      <c r="Q665" s="422"/>
      <c r="R665" s="422"/>
      <c r="S665" s="422"/>
      <c r="T665" s="422"/>
      <c r="U665" s="422"/>
      <c r="V665" s="422"/>
      <c r="W665" s="422"/>
      <c r="X665" s="422"/>
      <c r="Y665" s="422"/>
      <c r="Z665" s="422"/>
    </row>
    <row r="666" spans="1:26" ht="15" thickBot="1">
      <c r="A666" s="422"/>
      <c r="B666" s="422"/>
      <c r="C666" s="422"/>
      <c r="D666" s="422"/>
      <c r="E666" s="422"/>
      <c r="F666" s="422"/>
      <c r="G666" s="422"/>
      <c r="H666" s="422"/>
      <c r="I666" s="422"/>
      <c r="J666" s="422"/>
      <c r="K666" s="422"/>
      <c r="L666" s="422"/>
      <c r="M666" s="422"/>
      <c r="N666" s="422"/>
      <c r="O666" s="422"/>
      <c r="P666" s="422"/>
      <c r="Q666" s="422"/>
      <c r="R666" s="422"/>
      <c r="S666" s="422"/>
      <c r="T666" s="422"/>
      <c r="U666" s="422"/>
      <c r="V666" s="422"/>
      <c r="W666" s="422"/>
      <c r="X666" s="422"/>
      <c r="Y666" s="422"/>
      <c r="Z666" s="422"/>
    </row>
    <row r="667" spans="1:26" ht="15" thickBot="1">
      <c r="A667" s="422"/>
      <c r="B667" s="422"/>
      <c r="C667" s="422"/>
      <c r="D667" s="422"/>
      <c r="E667" s="422"/>
      <c r="F667" s="422"/>
      <c r="G667" s="422"/>
      <c r="H667" s="422"/>
      <c r="I667" s="422"/>
      <c r="J667" s="422"/>
      <c r="K667" s="422"/>
      <c r="L667" s="422"/>
      <c r="M667" s="422"/>
      <c r="N667" s="422"/>
      <c r="O667" s="422"/>
      <c r="P667" s="422"/>
      <c r="Q667" s="422"/>
      <c r="R667" s="422"/>
      <c r="S667" s="422"/>
      <c r="T667" s="422"/>
      <c r="U667" s="422"/>
      <c r="V667" s="422"/>
      <c r="W667" s="422"/>
      <c r="X667" s="422"/>
      <c r="Y667" s="422"/>
      <c r="Z667" s="422"/>
    </row>
    <row r="668" spans="1:26" ht="15" thickBot="1">
      <c r="A668" s="422"/>
      <c r="B668" s="422"/>
      <c r="C668" s="422"/>
      <c r="D668" s="422"/>
      <c r="E668" s="422"/>
      <c r="F668" s="422"/>
      <c r="G668" s="422"/>
      <c r="H668" s="422"/>
      <c r="I668" s="422"/>
      <c r="J668" s="422"/>
      <c r="K668" s="422"/>
      <c r="L668" s="422"/>
      <c r="M668" s="422"/>
      <c r="N668" s="422"/>
      <c r="O668" s="422"/>
      <c r="P668" s="422"/>
      <c r="Q668" s="422"/>
      <c r="R668" s="422"/>
      <c r="S668" s="422"/>
      <c r="T668" s="422"/>
      <c r="U668" s="422"/>
      <c r="V668" s="422"/>
      <c r="W668" s="422"/>
      <c r="X668" s="422"/>
      <c r="Y668" s="422"/>
      <c r="Z668" s="422"/>
    </row>
    <row r="669" spans="1:26" ht="15" thickBot="1">
      <c r="A669" s="422"/>
      <c r="B669" s="422"/>
      <c r="C669" s="422"/>
      <c r="D669" s="422"/>
      <c r="E669" s="422"/>
      <c r="F669" s="422"/>
      <c r="G669" s="422"/>
      <c r="H669" s="422"/>
      <c r="I669" s="422"/>
      <c r="J669" s="422"/>
      <c r="K669" s="422"/>
      <c r="L669" s="422"/>
      <c r="M669" s="422"/>
      <c r="N669" s="422"/>
      <c r="O669" s="422"/>
      <c r="P669" s="422"/>
      <c r="Q669" s="422"/>
      <c r="R669" s="422"/>
      <c r="S669" s="422"/>
      <c r="T669" s="422"/>
      <c r="U669" s="422"/>
      <c r="V669" s="422"/>
      <c r="W669" s="422"/>
      <c r="X669" s="422"/>
      <c r="Y669" s="422"/>
      <c r="Z669" s="422"/>
    </row>
    <row r="670" spans="1:26" ht="15" thickBot="1">
      <c r="A670" s="422"/>
      <c r="B670" s="422"/>
      <c r="C670" s="422"/>
      <c r="D670" s="422"/>
      <c r="E670" s="422"/>
      <c r="F670" s="422"/>
      <c r="G670" s="422"/>
      <c r="H670" s="422"/>
      <c r="I670" s="422"/>
      <c r="J670" s="422"/>
      <c r="K670" s="422"/>
      <c r="L670" s="422"/>
      <c r="M670" s="422"/>
      <c r="N670" s="422"/>
      <c r="O670" s="422"/>
      <c r="P670" s="422"/>
      <c r="Q670" s="422"/>
      <c r="R670" s="422"/>
      <c r="S670" s="422"/>
      <c r="T670" s="422"/>
      <c r="U670" s="422"/>
      <c r="V670" s="422"/>
      <c r="W670" s="422"/>
      <c r="X670" s="422"/>
      <c r="Y670" s="422"/>
      <c r="Z670" s="422"/>
    </row>
    <row r="671" spans="1:26" ht="15" thickBot="1">
      <c r="A671" s="422"/>
      <c r="B671" s="422"/>
      <c r="C671" s="422"/>
      <c r="D671" s="422"/>
      <c r="E671" s="422"/>
      <c r="F671" s="422"/>
      <c r="G671" s="422"/>
      <c r="H671" s="422"/>
      <c r="I671" s="422"/>
      <c r="J671" s="422"/>
      <c r="K671" s="422"/>
      <c r="L671" s="422"/>
      <c r="M671" s="422"/>
      <c r="N671" s="422"/>
      <c r="O671" s="422"/>
      <c r="P671" s="422"/>
      <c r="Q671" s="422"/>
      <c r="R671" s="422"/>
      <c r="S671" s="422"/>
      <c r="T671" s="422"/>
      <c r="U671" s="422"/>
      <c r="V671" s="422"/>
      <c r="W671" s="422"/>
      <c r="X671" s="422"/>
      <c r="Y671" s="422"/>
      <c r="Z671" s="422"/>
    </row>
    <row r="672" spans="1:26" ht="15" thickBot="1">
      <c r="A672" s="422"/>
      <c r="B672" s="422"/>
      <c r="C672" s="422"/>
      <c r="D672" s="422"/>
      <c r="E672" s="422"/>
      <c r="F672" s="422"/>
      <c r="G672" s="422"/>
      <c r="H672" s="422"/>
      <c r="I672" s="422"/>
      <c r="J672" s="422"/>
      <c r="K672" s="422"/>
      <c r="L672" s="422"/>
      <c r="M672" s="422"/>
      <c r="N672" s="422"/>
      <c r="O672" s="422"/>
      <c r="P672" s="422"/>
      <c r="Q672" s="422"/>
      <c r="R672" s="422"/>
      <c r="S672" s="422"/>
      <c r="T672" s="422"/>
      <c r="U672" s="422"/>
      <c r="V672" s="422"/>
      <c r="W672" s="422"/>
      <c r="X672" s="422"/>
      <c r="Y672" s="422"/>
      <c r="Z672" s="422"/>
    </row>
    <row r="673" spans="1:26" ht="15" thickBot="1">
      <c r="A673" s="422"/>
      <c r="B673" s="422"/>
      <c r="C673" s="422"/>
      <c r="D673" s="422"/>
      <c r="E673" s="422"/>
      <c r="F673" s="422"/>
      <c r="G673" s="422"/>
      <c r="H673" s="422"/>
      <c r="I673" s="422"/>
      <c r="J673" s="422"/>
      <c r="K673" s="422"/>
      <c r="L673" s="422"/>
      <c r="M673" s="422"/>
      <c r="N673" s="422"/>
      <c r="O673" s="422"/>
      <c r="P673" s="422"/>
      <c r="Q673" s="422"/>
      <c r="R673" s="422"/>
      <c r="S673" s="422"/>
      <c r="T673" s="422"/>
      <c r="U673" s="422"/>
      <c r="V673" s="422"/>
      <c r="W673" s="422"/>
      <c r="X673" s="422"/>
      <c r="Y673" s="422"/>
      <c r="Z673" s="422"/>
    </row>
    <row r="674" spans="1:26" ht="15" thickBot="1">
      <c r="A674" s="422"/>
      <c r="B674" s="422"/>
      <c r="C674" s="422"/>
      <c r="D674" s="422"/>
      <c r="E674" s="422"/>
      <c r="F674" s="422"/>
      <c r="G674" s="422"/>
      <c r="H674" s="422"/>
      <c r="I674" s="422"/>
      <c r="J674" s="422"/>
      <c r="K674" s="422"/>
      <c r="L674" s="422"/>
      <c r="M674" s="422"/>
      <c r="N674" s="422"/>
      <c r="O674" s="422"/>
      <c r="P674" s="422"/>
      <c r="Q674" s="422"/>
      <c r="R674" s="422"/>
      <c r="S674" s="422"/>
      <c r="T674" s="422"/>
      <c r="U674" s="422"/>
      <c r="V674" s="422"/>
      <c r="W674" s="422"/>
      <c r="X674" s="422"/>
      <c r="Y674" s="422"/>
      <c r="Z674" s="422"/>
    </row>
    <row r="675" spans="1:26" ht="15" thickBot="1">
      <c r="A675" s="422"/>
      <c r="B675" s="422"/>
      <c r="C675" s="422"/>
      <c r="D675" s="422"/>
      <c r="E675" s="422"/>
      <c r="F675" s="422"/>
      <c r="G675" s="422"/>
      <c r="H675" s="422"/>
      <c r="I675" s="422"/>
      <c r="J675" s="422"/>
      <c r="K675" s="422"/>
      <c r="L675" s="422"/>
      <c r="M675" s="422"/>
      <c r="N675" s="422"/>
      <c r="O675" s="422"/>
      <c r="P675" s="422"/>
      <c r="Q675" s="422"/>
      <c r="R675" s="422"/>
      <c r="S675" s="422"/>
      <c r="T675" s="422"/>
      <c r="U675" s="422"/>
      <c r="V675" s="422"/>
      <c r="W675" s="422"/>
      <c r="X675" s="422"/>
      <c r="Y675" s="422"/>
      <c r="Z675" s="422"/>
    </row>
    <row r="676" spans="1:26" ht="15" thickBot="1">
      <c r="A676" s="422"/>
      <c r="B676" s="422"/>
      <c r="C676" s="422"/>
      <c r="D676" s="422"/>
      <c r="E676" s="422"/>
      <c r="F676" s="422"/>
      <c r="G676" s="422"/>
      <c r="H676" s="422"/>
      <c r="I676" s="422"/>
      <c r="J676" s="422"/>
      <c r="K676" s="422"/>
      <c r="L676" s="422"/>
      <c r="M676" s="422"/>
      <c r="N676" s="422"/>
      <c r="O676" s="422"/>
      <c r="P676" s="422"/>
      <c r="Q676" s="422"/>
      <c r="R676" s="422"/>
      <c r="S676" s="422"/>
      <c r="T676" s="422"/>
      <c r="U676" s="422"/>
      <c r="V676" s="422"/>
      <c r="W676" s="422"/>
      <c r="X676" s="422"/>
      <c r="Y676" s="422"/>
      <c r="Z676" s="422"/>
    </row>
    <row r="677" spans="1:26" ht="15" thickBot="1">
      <c r="A677" s="422"/>
      <c r="B677" s="422"/>
      <c r="C677" s="422"/>
      <c r="D677" s="422"/>
      <c r="E677" s="422"/>
      <c r="F677" s="422"/>
      <c r="G677" s="422"/>
      <c r="H677" s="422"/>
      <c r="I677" s="422"/>
      <c r="J677" s="422"/>
      <c r="K677" s="422"/>
      <c r="L677" s="422"/>
      <c r="M677" s="422"/>
      <c r="N677" s="422"/>
      <c r="O677" s="422"/>
      <c r="P677" s="422"/>
      <c r="Q677" s="422"/>
      <c r="R677" s="422"/>
      <c r="S677" s="422"/>
      <c r="T677" s="422"/>
      <c r="U677" s="422"/>
      <c r="V677" s="422"/>
      <c r="W677" s="422"/>
      <c r="X677" s="422"/>
      <c r="Y677" s="422"/>
      <c r="Z677" s="422"/>
    </row>
    <row r="678" spans="1:26" ht="15" thickBot="1">
      <c r="A678" s="422"/>
      <c r="B678" s="422"/>
      <c r="C678" s="422"/>
      <c r="D678" s="422"/>
      <c r="E678" s="422"/>
      <c r="F678" s="422"/>
      <c r="G678" s="422"/>
      <c r="H678" s="422"/>
      <c r="I678" s="422"/>
      <c r="J678" s="422"/>
      <c r="K678" s="422"/>
      <c r="L678" s="422"/>
      <c r="M678" s="422"/>
      <c r="N678" s="422"/>
      <c r="O678" s="422"/>
      <c r="P678" s="422"/>
      <c r="Q678" s="422"/>
      <c r="R678" s="422"/>
      <c r="S678" s="422"/>
      <c r="T678" s="422"/>
      <c r="U678" s="422"/>
      <c r="V678" s="422"/>
      <c r="W678" s="422"/>
      <c r="X678" s="422"/>
      <c r="Y678" s="422"/>
      <c r="Z678" s="422"/>
    </row>
    <row r="679" spans="1:26" ht="15" thickBot="1">
      <c r="A679" s="422"/>
      <c r="B679" s="422"/>
      <c r="C679" s="422"/>
      <c r="D679" s="422"/>
      <c r="E679" s="422"/>
      <c r="F679" s="422"/>
      <c r="G679" s="422"/>
      <c r="H679" s="422"/>
      <c r="I679" s="422"/>
      <c r="J679" s="422"/>
      <c r="K679" s="422"/>
      <c r="L679" s="422"/>
      <c r="M679" s="422"/>
      <c r="N679" s="422"/>
      <c r="O679" s="422"/>
      <c r="P679" s="422"/>
      <c r="Q679" s="422"/>
      <c r="R679" s="422"/>
      <c r="S679" s="422"/>
      <c r="T679" s="422"/>
      <c r="U679" s="422"/>
      <c r="V679" s="422"/>
      <c r="W679" s="422"/>
      <c r="X679" s="422"/>
      <c r="Y679" s="422"/>
      <c r="Z679" s="422"/>
    </row>
    <row r="680" spans="1:26" ht="15" thickBot="1">
      <c r="A680" s="422"/>
      <c r="B680" s="422"/>
      <c r="C680" s="422"/>
      <c r="D680" s="422"/>
      <c r="E680" s="422"/>
      <c r="F680" s="422"/>
      <c r="G680" s="422"/>
      <c r="H680" s="422"/>
      <c r="I680" s="422"/>
      <c r="J680" s="422"/>
      <c r="K680" s="422"/>
      <c r="L680" s="422"/>
      <c r="M680" s="422"/>
      <c r="N680" s="422"/>
      <c r="O680" s="422"/>
      <c r="P680" s="422"/>
      <c r="Q680" s="422"/>
      <c r="R680" s="422"/>
      <c r="S680" s="422"/>
      <c r="T680" s="422"/>
      <c r="U680" s="422"/>
      <c r="V680" s="422"/>
      <c r="W680" s="422"/>
      <c r="X680" s="422"/>
      <c r="Y680" s="422"/>
      <c r="Z680" s="422"/>
    </row>
    <row r="681" spans="1:26" ht="15" thickBot="1">
      <c r="A681" s="422"/>
      <c r="B681" s="422"/>
      <c r="C681" s="422"/>
      <c r="D681" s="422"/>
      <c r="E681" s="422"/>
      <c r="F681" s="422"/>
      <c r="G681" s="422"/>
      <c r="H681" s="422"/>
      <c r="I681" s="422"/>
      <c r="J681" s="422"/>
      <c r="K681" s="422"/>
      <c r="L681" s="422"/>
      <c r="M681" s="422"/>
      <c r="N681" s="422"/>
      <c r="O681" s="422"/>
      <c r="P681" s="422"/>
      <c r="Q681" s="422"/>
      <c r="R681" s="422"/>
      <c r="S681" s="422"/>
      <c r="T681" s="422"/>
      <c r="U681" s="422"/>
      <c r="V681" s="422"/>
      <c r="W681" s="422"/>
      <c r="X681" s="422"/>
      <c r="Y681" s="422"/>
      <c r="Z681" s="422"/>
    </row>
    <row r="682" spans="1:26" ht="15" thickBot="1">
      <c r="A682" s="422"/>
      <c r="B682" s="422"/>
      <c r="C682" s="422"/>
      <c r="D682" s="422"/>
      <c r="E682" s="422"/>
      <c r="F682" s="422"/>
      <c r="G682" s="422"/>
      <c r="H682" s="422"/>
      <c r="I682" s="422"/>
      <c r="J682" s="422"/>
      <c r="K682" s="422"/>
      <c r="L682" s="422"/>
      <c r="M682" s="422"/>
      <c r="N682" s="422"/>
      <c r="O682" s="422"/>
      <c r="P682" s="422"/>
      <c r="Q682" s="422"/>
      <c r="R682" s="422"/>
      <c r="S682" s="422"/>
      <c r="T682" s="422"/>
      <c r="U682" s="422"/>
      <c r="V682" s="422"/>
      <c r="W682" s="422"/>
      <c r="X682" s="422"/>
      <c r="Y682" s="422"/>
      <c r="Z682" s="422"/>
    </row>
    <row r="683" spans="1:26" ht="15" thickBot="1">
      <c r="A683" s="422"/>
      <c r="B683" s="422"/>
      <c r="C683" s="422"/>
      <c r="D683" s="422"/>
      <c r="E683" s="422"/>
      <c r="F683" s="422"/>
      <c r="G683" s="422"/>
      <c r="H683" s="422"/>
      <c r="I683" s="422"/>
      <c r="J683" s="422"/>
      <c r="K683" s="422"/>
      <c r="L683" s="422"/>
      <c r="M683" s="422"/>
      <c r="N683" s="422"/>
      <c r="O683" s="422"/>
      <c r="P683" s="422"/>
      <c r="Q683" s="422"/>
      <c r="R683" s="422"/>
      <c r="S683" s="422"/>
      <c r="T683" s="422"/>
      <c r="U683" s="422"/>
      <c r="V683" s="422"/>
      <c r="W683" s="422"/>
      <c r="X683" s="422"/>
      <c r="Y683" s="422"/>
      <c r="Z683" s="422"/>
    </row>
    <row r="684" spans="1:26" ht="15" thickBot="1">
      <c r="A684" s="422"/>
      <c r="B684" s="422"/>
      <c r="C684" s="422"/>
      <c r="D684" s="422"/>
      <c r="E684" s="422"/>
      <c r="F684" s="422"/>
      <c r="G684" s="422"/>
      <c r="H684" s="422"/>
      <c r="I684" s="422"/>
      <c r="J684" s="422"/>
      <c r="K684" s="422"/>
      <c r="L684" s="422"/>
      <c r="M684" s="422"/>
      <c r="N684" s="422"/>
      <c r="O684" s="422"/>
      <c r="P684" s="422"/>
      <c r="Q684" s="422"/>
      <c r="R684" s="422"/>
      <c r="S684" s="422"/>
      <c r="T684" s="422"/>
      <c r="U684" s="422"/>
      <c r="V684" s="422"/>
      <c r="W684" s="422"/>
      <c r="X684" s="422"/>
      <c r="Y684" s="422"/>
      <c r="Z684" s="422"/>
    </row>
    <row r="685" spans="1:26" ht="15" thickBot="1">
      <c r="A685" s="422"/>
      <c r="B685" s="422"/>
      <c r="C685" s="422"/>
      <c r="D685" s="422"/>
      <c r="E685" s="422"/>
      <c r="F685" s="422"/>
      <c r="G685" s="422"/>
      <c r="H685" s="422"/>
      <c r="I685" s="422"/>
      <c r="J685" s="422"/>
      <c r="K685" s="422"/>
      <c r="L685" s="422"/>
      <c r="M685" s="422"/>
      <c r="N685" s="422"/>
      <c r="O685" s="422"/>
      <c r="P685" s="422"/>
      <c r="Q685" s="422"/>
      <c r="R685" s="422"/>
      <c r="S685" s="422"/>
      <c r="T685" s="422"/>
      <c r="U685" s="422"/>
      <c r="V685" s="422"/>
      <c r="W685" s="422"/>
      <c r="X685" s="422"/>
      <c r="Y685" s="422"/>
      <c r="Z685" s="422"/>
    </row>
    <row r="686" spans="1:26" ht="15" thickBot="1">
      <c r="A686" s="422"/>
      <c r="B686" s="422"/>
      <c r="C686" s="422"/>
      <c r="D686" s="422"/>
      <c r="E686" s="422"/>
      <c r="F686" s="422"/>
      <c r="G686" s="422"/>
      <c r="H686" s="422"/>
      <c r="I686" s="422"/>
      <c r="J686" s="422"/>
      <c r="K686" s="422"/>
      <c r="L686" s="422"/>
      <c r="M686" s="422"/>
      <c r="N686" s="422"/>
      <c r="O686" s="422"/>
      <c r="P686" s="422"/>
      <c r="Q686" s="422"/>
      <c r="R686" s="422"/>
      <c r="S686" s="422"/>
      <c r="T686" s="422"/>
      <c r="U686" s="422"/>
      <c r="V686" s="422"/>
      <c r="W686" s="422"/>
      <c r="X686" s="422"/>
      <c r="Y686" s="422"/>
      <c r="Z686" s="422"/>
    </row>
    <row r="687" spans="1:26" ht="15" thickBot="1">
      <c r="A687" s="422"/>
      <c r="B687" s="422"/>
      <c r="C687" s="422"/>
      <c r="D687" s="422"/>
      <c r="E687" s="422"/>
      <c r="F687" s="422"/>
      <c r="G687" s="422"/>
      <c r="H687" s="422"/>
      <c r="I687" s="422"/>
      <c r="J687" s="422"/>
      <c r="K687" s="422"/>
      <c r="L687" s="422"/>
      <c r="M687" s="422"/>
      <c r="N687" s="422"/>
      <c r="O687" s="422"/>
      <c r="P687" s="422"/>
      <c r="Q687" s="422"/>
      <c r="R687" s="422"/>
      <c r="S687" s="422"/>
      <c r="T687" s="422"/>
      <c r="U687" s="422"/>
      <c r="V687" s="422"/>
      <c r="W687" s="422"/>
      <c r="X687" s="422"/>
      <c r="Y687" s="422"/>
      <c r="Z687" s="422"/>
    </row>
    <row r="688" spans="1:26" ht="15" thickBot="1">
      <c r="A688" s="422"/>
      <c r="B688" s="422"/>
      <c r="C688" s="422"/>
      <c r="D688" s="422"/>
      <c r="E688" s="422"/>
      <c r="F688" s="422"/>
      <c r="G688" s="422"/>
      <c r="H688" s="422"/>
      <c r="I688" s="422"/>
      <c r="J688" s="422"/>
      <c r="K688" s="422"/>
      <c r="L688" s="422"/>
      <c r="M688" s="422"/>
      <c r="N688" s="422"/>
      <c r="O688" s="422"/>
      <c r="P688" s="422"/>
      <c r="Q688" s="422"/>
      <c r="R688" s="422"/>
      <c r="S688" s="422"/>
      <c r="T688" s="422"/>
      <c r="U688" s="422"/>
      <c r="V688" s="422"/>
      <c r="W688" s="422"/>
      <c r="X688" s="422"/>
      <c r="Y688" s="422"/>
      <c r="Z688" s="422"/>
    </row>
    <row r="689" spans="1:26" ht="15" thickBot="1">
      <c r="A689" s="422"/>
      <c r="B689" s="422"/>
      <c r="C689" s="422"/>
      <c r="D689" s="422"/>
      <c r="E689" s="422"/>
      <c r="F689" s="422"/>
      <c r="G689" s="422"/>
      <c r="H689" s="422"/>
      <c r="I689" s="422"/>
      <c r="J689" s="422"/>
      <c r="K689" s="422"/>
      <c r="L689" s="422"/>
      <c r="M689" s="422"/>
      <c r="N689" s="422"/>
      <c r="O689" s="422"/>
      <c r="P689" s="422"/>
      <c r="Q689" s="422"/>
      <c r="R689" s="422"/>
      <c r="S689" s="422"/>
      <c r="T689" s="422"/>
      <c r="U689" s="422"/>
      <c r="V689" s="422"/>
      <c r="W689" s="422"/>
      <c r="X689" s="422"/>
      <c r="Y689" s="422"/>
      <c r="Z689" s="422"/>
    </row>
    <row r="690" spans="1:26" ht="15" thickBot="1">
      <c r="A690" s="422"/>
      <c r="B690" s="422"/>
      <c r="C690" s="422"/>
      <c r="D690" s="422"/>
      <c r="E690" s="422"/>
      <c r="F690" s="422"/>
      <c r="G690" s="422"/>
      <c r="H690" s="422"/>
      <c r="I690" s="422"/>
      <c r="J690" s="422"/>
      <c r="K690" s="422"/>
      <c r="L690" s="422"/>
      <c r="M690" s="422"/>
      <c r="N690" s="422"/>
      <c r="O690" s="422"/>
      <c r="P690" s="422"/>
      <c r="Q690" s="422"/>
      <c r="R690" s="422"/>
      <c r="S690" s="422"/>
      <c r="T690" s="422"/>
      <c r="U690" s="422"/>
      <c r="V690" s="422"/>
      <c r="W690" s="422"/>
      <c r="X690" s="422"/>
      <c r="Y690" s="422"/>
      <c r="Z690" s="422"/>
    </row>
    <row r="691" spans="1:26" ht="15" thickBot="1">
      <c r="A691" s="422"/>
      <c r="B691" s="422"/>
      <c r="C691" s="422"/>
      <c r="D691" s="422"/>
      <c r="E691" s="422"/>
      <c r="F691" s="422"/>
      <c r="G691" s="422"/>
      <c r="H691" s="422"/>
      <c r="I691" s="422"/>
      <c r="J691" s="422"/>
      <c r="K691" s="422"/>
      <c r="L691" s="422"/>
      <c r="M691" s="422"/>
      <c r="N691" s="422"/>
      <c r="O691" s="422"/>
      <c r="P691" s="422"/>
      <c r="Q691" s="422"/>
      <c r="R691" s="422"/>
      <c r="S691" s="422"/>
      <c r="T691" s="422"/>
      <c r="U691" s="422"/>
      <c r="V691" s="422"/>
      <c r="W691" s="422"/>
      <c r="X691" s="422"/>
      <c r="Y691" s="422"/>
      <c r="Z691" s="422"/>
    </row>
    <row r="692" spans="1:26" ht="15" thickBot="1">
      <c r="A692" s="422"/>
      <c r="B692" s="422"/>
      <c r="C692" s="422"/>
      <c r="D692" s="422"/>
      <c r="E692" s="422"/>
      <c r="F692" s="422"/>
      <c r="G692" s="422"/>
      <c r="H692" s="422"/>
      <c r="I692" s="422"/>
      <c r="J692" s="422"/>
      <c r="K692" s="422"/>
      <c r="L692" s="422"/>
      <c r="M692" s="422"/>
      <c r="N692" s="422"/>
      <c r="O692" s="422"/>
      <c r="P692" s="422"/>
      <c r="Q692" s="422"/>
      <c r="R692" s="422"/>
      <c r="S692" s="422"/>
      <c r="T692" s="422"/>
      <c r="U692" s="422"/>
      <c r="V692" s="422"/>
      <c r="W692" s="422"/>
      <c r="X692" s="422"/>
      <c r="Y692" s="422"/>
      <c r="Z692" s="422"/>
    </row>
    <row r="693" spans="1:26" ht="15" thickBot="1">
      <c r="A693" s="422"/>
      <c r="B693" s="422"/>
      <c r="C693" s="422"/>
      <c r="D693" s="422"/>
      <c r="E693" s="422"/>
      <c r="F693" s="422"/>
      <c r="G693" s="422"/>
      <c r="H693" s="422"/>
      <c r="I693" s="422"/>
      <c r="J693" s="422"/>
      <c r="K693" s="422"/>
      <c r="L693" s="422"/>
      <c r="M693" s="422"/>
      <c r="N693" s="422"/>
      <c r="O693" s="422"/>
      <c r="P693" s="422"/>
      <c r="Q693" s="422"/>
      <c r="R693" s="422"/>
      <c r="S693" s="422"/>
      <c r="T693" s="422"/>
      <c r="U693" s="422"/>
      <c r="V693" s="422"/>
      <c r="W693" s="422"/>
      <c r="X693" s="422"/>
      <c r="Y693" s="422"/>
      <c r="Z693" s="422"/>
    </row>
    <row r="694" spans="1:26" ht="15" thickBot="1">
      <c r="A694" s="422"/>
      <c r="B694" s="422"/>
      <c r="C694" s="422"/>
      <c r="D694" s="422"/>
      <c r="E694" s="422"/>
      <c r="F694" s="422"/>
      <c r="G694" s="422"/>
      <c r="H694" s="422"/>
      <c r="I694" s="422"/>
      <c r="J694" s="422"/>
      <c r="K694" s="422"/>
      <c r="L694" s="422"/>
      <c r="M694" s="422"/>
      <c r="N694" s="422"/>
      <c r="O694" s="422"/>
      <c r="P694" s="422"/>
      <c r="Q694" s="422"/>
      <c r="R694" s="422"/>
      <c r="S694" s="422"/>
      <c r="T694" s="422"/>
      <c r="U694" s="422"/>
      <c r="V694" s="422"/>
      <c r="W694" s="422"/>
      <c r="X694" s="422"/>
      <c r="Y694" s="422"/>
      <c r="Z694" s="422"/>
    </row>
    <row r="695" spans="1:26" ht="15" thickBot="1">
      <c r="A695" s="422"/>
      <c r="B695" s="422"/>
      <c r="C695" s="422"/>
      <c r="D695" s="422"/>
      <c r="E695" s="422"/>
      <c r="F695" s="422"/>
      <c r="G695" s="422"/>
      <c r="H695" s="422"/>
      <c r="I695" s="422"/>
      <c r="J695" s="422"/>
      <c r="K695" s="422"/>
      <c r="L695" s="422"/>
      <c r="M695" s="422"/>
      <c r="N695" s="422"/>
      <c r="O695" s="422"/>
      <c r="P695" s="422"/>
      <c r="Q695" s="422"/>
      <c r="R695" s="422"/>
      <c r="S695" s="422"/>
      <c r="T695" s="422"/>
      <c r="U695" s="422"/>
      <c r="V695" s="422"/>
      <c r="W695" s="422"/>
      <c r="X695" s="422"/>
      <c r="Y695" s="422"/>
      <c r="Z695" s="422"/>
    </row>
    <row r="696" spans="1:26" ht="15" thickBot="1">
      <c r="A696" s="422"/>
      <c r="B696" s="422"/>
      <c r="C696" s="422"/>
      <c r="D696" s="422"/>
      <c r="E696" s="422"/>
      <c r="F696" s="422"/>
      <c r="G696" s="422"/>
      <c r="H696" s="422"/>
      <c r="I696" s="422"/>
      <c r="J696" s="422"/>
      <c r="K696" s="422"/>
      <c r="L696" s="422"/>
      <c r="M696" s="422"/>
      <c r="N696" s="422"/>
      <c r="O696" s="422"/>
      <c r="P696" s="422"/>
      <c r="Q696" s="422"/>
      <c r="R696" s="422"/>
      <c r="S696" s="422"/>
      <c r="T696" s="422"/>
      <c r="U696" s="422"/>
      <c r="V696" s="422"/>
      <c r="W696" s="422"/>
      <c r="X696" s="422"/>
      <c r="Y696" s="422"/>
      <c r="Z696" s="422"/>
    </row>
    <row r="697" spans="1:26" ht="15" thickBot="1">
      <c r="A697" s="422"/>
      <c r="B697" s="422"/>
      <c r="C697" s="422"/>
      <c r="D697" s="422"/>
      <c r="E697" s="422"/>
      <c r="F697" s="422"/>
      <c r="G697" s="422"/>
      <c r="H697" s="422"/>
      <c r="I697" s="422"/>
      <c r="J697" s="422"/>
      <c r="K697" s="422"/>
      <c r="L697" s="422"/>
      <c r="M697" s="422"/>
      <c r="N697" s="422"/>
      <c r="O697" s="422"/>
      <c r="P697" s="422"/>
      <c r="Q697" s="422"/>
      <c r="R697" s="422"/>
      <c r="S697" s="422"/>
      <c r="T697" s="422"/>
      <c r="U697" s="422"/>
      <c r="V697" s="422"/>
      <c r="W697" s="422"/>
      <c r="X697" s="422"/>
      <c r="Y697" s="422"/>
      <c r="Z697" s="422"/>
    </row>
    <row r="698" spans="1:26" ht="15" thickBot="1">
      <c r="A698" s="422"/>
      <c r="B698" s="422"/>
      <c r="C698" s="422"/>
      <c r="D698" s="422"/>
      <c r="E698" s="422"/>
      <c r="F698" s="422"/>
      <c r="G698" s="422"/>
      <c r="H698" s="422"/>
      <c r="I698" s="422"/>
      <c r="J698" s="422"/>
      <c r="K698" s="422"/>
      <c r="L698" s="422"/>
      <c r="M698" s="422"/>
      <c r="N698" s="422"/>
      <c r="O698" s="422"/>
      <c r="P698" s="422"/>
      <c r="Q698" s="422"/>
      <c r="R698" s="422"/>
      <c r="S698" s="422"/>
      <c r="T698" s="422"/>
      <c r="U698" s="422"/>
      <c r="V698" s="422"/>
      <c r="W698" s="422"/>
      <c r="X698" s="422"/>
      <c r="Y698" s="422"/>
      <c r="Z698" s="422"/>
    </row>
    <row r="699" spans="1:26" ht="15" thickBot="1">
      <c r="A699" s="422"/>
      <c r="B699" s="422"/>
      <c r="C699" s="422"/>
      <c r="D699" s="422"/>
      <c r="E699" s="422"/>
      <c r="F699" s="422"/>
      <c r="G699" s="422"/>
      <c r="H699" s="422"/>
      <c r="I699" s="422"/>
      <c r="J699" s="422"/>
      <c r="K699" s="422"/>
      <c r="L699" s="422"/>
      <c r="M699" s="422"/>
      <c r="N699" s="422"/>
      <c r="O699" s="422"/>
      <c r="P699" s="422"/>
      <c r="Q699" s="422"/>
      <c r="R699" s="422"/>
      <c r="S699" s="422"/>
      <c r="T699" s="422"/>
      <c r="U699" s="422"/>
      <c r="V699" s="422"/>
      <c r="W699" s="422"/>
      <c r="X699" s="422"/>
      <c r="Y699" s="422"/>
      <c r="Z699" s="422"/>
    </row>
    <row r="700" spans="1:26" ht="15" thickBot="1">
      <c r="A700" s="422"/>
      <c r="B700" s="422"/>
      <c r="C700" s="422"/>
      <c r="D700" s="422"/>
      <c r="E700" s="422"/>
      <c r="F700" s="422"/>
      <c r="G700" s="422"/>
      <c r="H700" s="422"/>
      <c r="I700" s="422"/>
      <c r="J700" s="422"/>
      <c r="K700" s="422"/>
      <c r="L700" s="422"/>
      <c r="M700" s="422"/>
      <c r="N700" s="422"/>
      <c r="O700" s="422"/>
      <c r="P700" s="422"/>
      <c r="Q700" s="422"/>
      <c r="R700" s="422"/>
      <c r="S700" s="422"/>
      <c r="T700" s="422"/>
      <c r="U700" s="422"/>
      <c r="V700" s="422"/>
      <c r="W700" s="422"/>
      <c r="X700" s="422"/>
      <c r="Y700" s="422"/>
      <c r="Z700" s="422"/>
    </row>
    <row r="701" spans="1:26" ht="15" thickBot="1">
      <c r="A701" s="422"/>
      <c r="B701" s="422"/>
      <c r="C701" s="422"/>
      <c r="D701" s="422"/>
      <c r="E701" s="422"/>
      <c r="F701" s="422"/>
      <c r="G701" s="422"/>
      <c r="H701" s="422"/>
      <c r="I701" s="422"/>
      <c r="J701" s="422"/>
      <c r="K701" s="422"/>
      <c r="L701" s="422"/>
      <c r="M701" s="422"/>
      <c r="N701" s="422"/>
      <c r="O701" s="422"/>
      <c r="P701" s="422"/>
      <c r="Q701" s="422"/>
      <c r="R701" s="422"/>
      <c r="S701" s="422"/>
      <c r="T701" s="422"/>
      <c r="U701" s="422"/>
      <c r="V701" s="422"/>
      <c r="W701" s="422"/>
      <c r="X701" s="422"/>
      <c r="Y701" s="422"/>
      <c r="Z701" s="422"/>
    </row>
    <row r="702" spans="1:26" ht="15" thickBot="1">
      <c r="A702" s="422"/>
      <c r="B702" s="422"/>
      <c r="C702" s="422"/>
      <c r="D702" s="422"/>
      <c r="E702" s="422"/>
      <c r="F702" s="422"/>
      <c r="G702" s="422"/>
      <c r="H702" s="422"/>
      <c r="I702" s="422"/>
      <c r="J702" s="422"/>
      <c r="K702" s="422"/>
      <c r="L702" s="422"/>
      <c r="M702" s="422"/>
      <c r="N702" s="422"/>
      <c r="O702" s="422"/>
      <c r="P702" s="422"/>
      <c r="Q702" s="422"/>
      <c r="R702" s="422"/>
      <c r="S702" s="422"/>
      <c r="T702" s="422"/>
      <c r="U702" s="422"/>
      <c r="V702" s="422"/>
      <c r="W702" s="422"/>
      <c r="X702" s="422"/>
      <c r="Y702" s="422"/>
      <c r="Z702" s="422"/>
    </row>
    <row r="703" spans="1:26" ht="15" thickBot="1">
      <c r="A703" s="422"/>
      <c r="B703" s="422"/>
      <c r="C703" s="422"/>
      <c r="D703" s="422"/>
      <c r="E703" s="422"/>
      <c r="F703" s="422"/>
      <c r="G703" s="422"/>
      <c r="H703" s="422"/>
      <c r="I703" s="422"/>
      <c r="J703" s="422"/>
      <c r="K703" s="422"/>
      <c r="L703" s="422"/>
      <c r="M703" s="422"/>
      <c r="N703" s="422"/>
      <c r="O703" s="422"/>
      <c r="P703" s="422"/>
      <c r="Q703" s="422"/>
      <c r="R703" s="422"/>
      <c r="S703" s="422"/>
      <c r="T703" s="422"/>
      <c r="U703" s="422"/>
      <c r="V703" s="422"/>
      <c r="W703" s="422"/>
      <c r="X703" s="422"/>
      <c r="Y703" s="422"/>
      <c r="Z703" s="422"/>
    </row>
    <row r="704" spans="1:26" ht="15" thickBot="1">
      <c r="A704" s="422"/>
      <c r="B704" s="422"/>
      <c r="C704" s="422"/>
      <c r="D704" s="422"/>
      <c r="E704" s="422"/>
      <c r="F704" s="422"/>
      <c r="G704" s="422"/>
      <c r="H704" s="422"/>
      <c r="I704" s="422"/>
      <c r="J704" s="422"/>
      <c r="K704" s="422"/>
      <c r="L704" s="422"/>
      <c r="M704" s="422"/>
      <c r="N704" s="422"/>
      <c r="O704" s="422"/>
      <c r="P704" s="422"/>
      <c r="Q704" s="422"/>
      <c r="R704" s="422"/>
      <c r="S704" s="422"/>
      <c r="T704" s="422"/>
      <c r="U704" s="422"/>
      <c r="V704" s="422"/>
      <c r="W704" s="422"/>
      <c r="X704" s="422"/>
      <c r="Y704" s="422"/>
      <c r="Z704" s="422"/>
    </row>
    <row r="705" spans="1:26" ht="15" thickBot="1">
      <c r="A705" s="422"/>
      <c r="B705" s="422"/>
      <c r="C705" s="422"/>
      <c r="D705" s="422"/>
      <c r="E705" s="422"/>
      <c r="F705" s="422"/>
      <c r="G705" s="422"/>
      <c r="H705" s="422"/>
      <c r="I705" s="422"/>
      <c r="J705" s="422"/>
      <c r="K705" s="422"/>
      <c r="L705" s="422"/>
      <c r="M705" s="422"/>
      <c r="N705" s="422"/>
      <c r="O705" s="422"/>
      <c r="P705" s="422"/>
      <c r="Q705" s="422"/>
      <c r="R705" s="422"/>
      <c r="S705" s="422"/>
      <c r="T705" s="422"/>
      <c r="U705" s="422"/>
      <c r="V705" s="422"/>
      <c r="W705" s="422"/>
      <c r="X705" s="422"/>
      <c r="Y705" s="422"/>
      <c r="Z705" s="422"/>
    </row>
    <row r="706" spans="1:26" ht="15" thickBot="1">
      <c r="A706" s="422"/>
      <c r="B706" s="422"/>
      <c r="C706" s="422"/>
      <c r="D706" s="422"/>
      <c r="E706" s="422"/>
      <c r="F706" s="422"/>
      <c r="G706" s="422"/>
      <c r="H706" s="422"/>
      <c r="I706" s="422"/>
      <c r="J706" s="422"/>
      <c r="K706" s="422"/>
      <c r="L706" s="422"/>
      <c r="M706" s="422"/>
      <c r="N706" s="422"/>
      <c r="O706" s="422"/>
      <c r="P706" s="422"/>
      <c r="Q706" s="422"/>
      <c r="R706" s="422"/>
      <c r="S706" s="422"/>
      <c r="T706" s="422"/>
      <c r="U706" s="422"/>
      <c r="V706" s="422"/>
      <c r="W706" s="422"/>
      <c r="X706" s="422"/>
      <c r="Y706" s="422"/>
      <c r="Z706" s="422"/>
    </row>
    <row r="707" spans="1:26" ht="15" thickBot="1">
      <c r="A707" s="422"/>
      <c r="B707" s="422"/>
      <c r="C707" s="422"/>
      <c r="D707" s="422"/>
      <c r="E707" s="422"/>
      <c r="F707" s="422"/>
      <c r="G707" s="422"/>
      <c r="H707" s="422"/>
      <c r="I707" s="422"/>
      <c r="J707" s="422"/>
      <c r="K707" s="422"/>
      <c r="L707" s="422"/>
      <c r="M707" s="422"/>
      <c r="N707" s="422"/>
      <c r="O707" s="422"/>
      <c r="P707" s="422"/>
      <c r="Q707" s="422"/>
      <c r="R707" s="422"/>
      <c r="S707" s="422"/>
      <c r="T707" s="422"/>
      <c r="U707" s="422"/>
      <c r="V707" s="422"/>
      <c r="W707" s="422"/>
      <c r="X707" s="422"/>
      <c r="Y707" s="422"/>
      <c r="Z707" s="422"/>
    </row>
    <row r="708" spans="1:26" ht="15" thickBot="1">
      <c r="A708" s="422"/>
      <c r="B708" s="422"/>
      <c r="C708" s="422"/>
      <c r="D708" s="422"/>
      <c r="E708" s="422"/>
      <c r="F708" s="422"/>
      <c r="G708" s="422"/>
      <c r="H708" s="422"/>
      <c r="I708" s="422"/>
      <c r="J708" s="422"/>
      <c r="K708" s="422"/>
      <c r="L708" s="422"/>
      <c r="M708" s="422"/>
      <c r="N708" s="422"/>
      <c r="O708" s="422"/>
      <c r="P708" s="422"/>
      <c r="Q708" s="422"/>
      <c r="R708" s="422"/>
      <c r="S708" s="422"/>
      <c r="T708" s="422"/>
      <c r="U708" s="422"/>
      <c r="V708" s="422"/>
      <c r="W708" s="422"/>
      <c r="X708" s="422"/>
      <c r="Y708" s="422"/>
      <c r="Z708" s="422"/>
    </row>
    <row r="709" spans="1:26" ht="15" thickBot="1">
      <c r="A709" s="422"/>
      <c r="B709" s="422"/>
      <c r="C709" s="422"/>
      <c r="D709" s="422"/>
      <c r="E709" s="422"/>
      <c r="F709" s="422"/>
      <c r="G709" s="422"/>
      <c r="H709" s="422"/>
      <c r="I709" s="422"/>
      <c r="J709" s="422"/>
      <c r="K709" s="422"/>
      <c r="L709" s="422"/>
      <c r="M709" s="422"/>
      <c r="N709" s="422"/>
      <c r="O709" s="422"/>
      <c r="P709" s="422"/>
      <c r="Q709" s="422"/>
      <c r="R709" s="422"/>
      <c r="S709" s="422"/>
      <c r="T709" s="422"/>
      <c r="U709" s="422"/>
      <c r="V709" s="422"/>
      <c r="W709" s="422"/>
      <c r="X709" s="422"/>
      <c r="Y709" s="422"/>
      <c r="Z709" s="422"/>
    </row>
    <row r="710" spans="1:26" ht="15" thickBot="1">
      <c r="A710" s="422"/>
      <c r="B710" s="422"/>
      <c r="C710" s="422"/>
      <c r="D710" s="422"/>
      <c r="E710" s="422"/>
      <c r="F710" s="422"/>
      <c r="G710" s="422"/>
      <c r="H710" s="422"/>
      <c r="I710" s="422"/>
      <c r="J710" s="422"/>
      <c r="K710" s="422"/>
      <c r="L710" s="422"/>
      <c r="M710" s="422"/>
      <c r="N710" s="422"/>
      <c r="O710" s="422"/>
      <c r="P710" s="422"/>
      <c r="Q710" s="422"/>
      <c r="R710" s="422"/>
      <c r="S710" s="422"/>
      <c r="T710" s="422"/>
      <c r="U710" s="422"/>
      <c r="V710" s="422"/>
      <c r="W710" s="422"/>
      <c r="X710" s="422"/>
      <c r="Y710" s="422"/>
      <c r="Z710" s="422"/>
    </row>
    <row r="711" spans="1:26" ht="15" thickBot="1">
      <c r="A711" s="422"/>
      <c r="B711" s="422"/>
      <c r="C711" s="422"/>
      <c r="D711" s="422"/>
      <c r="E711" s="422"/>
      <c r="F711" s="422"/>
      <c r="G711" s="422"/>
      <c r="H711" s="422"/>
      <c r="I711" s="422"/>
      <c r="J711" s="422"/>
      <c r="K711" s="422"/>
      <c r="L711" s="422"/>
      <c r="M711" s="422"/>
      <c r="N711" s="422"/>
      <c r="O711" s="422"/>
      <c r="P711" s="422"/>
      <c r="Q711" s="422"/>
      <c r="R711" s="422"/>
      <c r="S711" s="422"/>
      <c r="T711" s="422"/>
      <c r="U711" s="422"/>
      <c r="V711" s="422"/>
      <c r="W711" s="422"/>
      <c r="X711" s="422"/>
      <c r="Y711" s="422"/>
      <c r="Z711" s="422"/>
    </row>
    <row r="712" spans="1:26" ht="15" thickBot="1">
      <c r="A712" s="422"/>
      <c r="B712" s="422"/>
      <c r="C712" s="422"/>
      <c r="D712" s="422"/>
      <c r="E712" s="422"/>
      <c r="F712" s="422"/>
      <c r="G712" s="422"/>
      <c r="H712" s="422"/>
      <c r="I712" s="422"/>
      <c r="J712" s="422"/>
      <c r="K712" s="422"/>
      <c r="L712" s="422"/>
      <c r="M712" s="422"/>
      <c r="N712" s="422"/>
      <c r="O712" s="422"/>
      <c r="P712" s="422"/>
      <c r="Q712" s="422"/>
      <c r="R712" s="422"/>
      <c r="S712" s="422"/>
      <c r="T712" s="422"/>
      <c r="U712" s="422"/>
      <c r="V712" s="422"/>
      <c r="W712" s="422"/>
      <c r="X712" s="422"/>
      <c r="Y712" s="422"/>
      <c r="Z712" s="422"/>
    </row>
    <row r="713" spans="1:26" ht="15" thickBot="1">
      <c r="A713" s="422"/>
      <c r="B713" s="422"/>
      <c r="C713" s="422"/>
      <c r="D713" s="422"/>
      <c r="E713" s="422"/>
      <c r="F713" s="422"/>
      <c r="G713" s="422"/>
      <c r="H713" s="422"/>
      <c r="I713" s="422"/>
      <c r="J713" s="422"/>
      <c r="K713" s="422"/>
      <c r="L713" s="422"/>
      <c r="M713" s="422"/>
      <c r="N713" s="422"/>
      <c r="O713" s="422"/>
      <c r="P713" s="422"/>
      <c r="Q713" s="422"/>
      <c r="R713" s="422"/>
      <c r="S713" s="422"/>
      <c r="T713" s="422"/>
      <c r="U713" s="422"/>
      <c r="V713" s="422"/>
      <c r="W713" s="422"/>
      <c r="X713" s="422"/>
      <c r="Y713" s="422"/>
      <c r="Z713" s="422"/>
    </row>
    <row r="714" spans="1:26" ht="15" thickBot="1">
      <c r="A714" s="422"/>
      <c r="B714" s="422"/>
      <c r="C714" s="422"/>
      <c r="D714" s="422"/>
      <c r="E714" s="422"/>
      <c r="F714" s="422"/>
      <c r="G714" s="422"/>
      <c r="H714" s="422"/>
      <c r="I714" s="422"/>
      <c r="J714" s="422"/>
      <c r="K714" s="422"/>
      <c r="L714" s="422"/>
      <c r="M714" s="422"/>
      <c r="N714" s="422"/>
      <c r="O714" s="422"/>
      <c r="P714" s="422"/>
      <c r="Q714" s="422"/>
      <c r="R714" s="422"/>
      <c r="S714" s="422"/>
      <c r="T714" s="422"/>
      <c r="U714" s="422"/>
      <c r="V714" s="422"/>
      <c r="W714" s="422"/>
      <c r="X714" s="422"/>
      <c r="Y714" s="422"/>
      <c r="Z714" s="422"/>
    </row>
    <row r="715" spans="1:26" ht="15" thickBot="1">
      <c r="A715" s="422"/>
      <c r="B715" s="422"/>
      <c r="C715" s="422"/>
      <c r="D715" s="422"/>
      <c r="E715" s="422"/>
      <c r="F715" s="422"/>
      <c r="G715" s="422"/>
      <c r="H715" s="422"/>
      <c r="I715" s="422"/>
      <c r="J715" s="422"/>
      <c r="K715" s="422"/>
      <c r="L715" s="422"/>
      <c r="M715" s="422"/>
      <c r="N715" s="422"/>
      <c r="O715" s="422"/>
      <c r="P715" s="422"/>
      <c r="Q715" s="422"/>
      <c r="R715" s="422"/>
      <c r="S715" s="422"/>
      <c r="T715" s="422"/>
      <c r="U715" s="422"/>
      <c r="V715" s="422"/>
      <c r="W715" s="422"/>
      <c r="X715" s="422"/>
      <c r="Y715" s="422"/>
      <c r="Z715" s="422"/>
    </row>
    <row r="716" spans="1:26" ht="15" thickBot="1">
      <c r="A716" s="422"/>
      <c r="B716" s="422"/>
      <c r="C716" s="422"/>
      <c r="D716" s="422"/>
      <c r="E716" s="422"/>
      <c r="F716" s="422"/>
      <c r="G716" s="422"/>
      <c r="H716" s="422"/>
      <c r="I716" s="422"/>
      <c r="J716" s="422"/>
      <c r="K716" s="422"/>
      <c r="L716" s="422"/>
      <c r="M716" s="422"/>
      <c r="N716" s="422"/>
      <c r="O716" s="422"/>
      <c r="P716" s="422"/>
      <c r="Q716" s="422"/>
      <c r="R716" s="422"/>
      <c r="S716" s="422"/>
      <c r="T716" s="422"/>
      <c r="U716" s="422"/>
      <c r="V716" s="422"/>
      <c r="W716" s="422"/>
      <c r="X716" s="422"/>
      <c r="Y716" s="422"/>
      <c r="Z716" s="422"/>
    </row>
    <row r="717" spans="1:26" ht="15" thickBot="1">
      <c r="A717" s="422"/>
      <c r="B717" s="422"/>
      <c r="C717" s="422"/>
      <c r="D717" s="422"/>
      <c r="E717" s="422"/>
      <c r="F717" s="422"/>
      <c r="G717" s="422"/>
      <c r="H717" s="422"/>
      <c r="I717" s="422"/>
      <c r="J717" s="422"/>
      <c r="K717" s="422"/>
      <c r="L717" s="422"/>
      <c r="M717" s="422"/>
      <c r="N717" s="422"/>
      <c r="O717" s="422"/>
      <c r="P717" s="422"/>
      <c r="Q717" s="422"/>
      <c r="R717" s="422"/>
      <c r="S717" s="422"/>
      <c r="T717" s="422"/>
      <c r="U717" s="422"/>
      <c r="V717" s="422"/>
      <c r="W717" s="422"/>
      <c r="X717" s="422"/>
      <c r="Y717" s="422"/>
      <c r="Z717" s="422"/>
    </row>
    <row r="718" spans="1:26" ht="15" thickBot="1">
      <c r="A718" s="422"/>
      <c r="B718" s="422"/>
      <c r="C718" s="422"/>
      <c r="D718" s="422"/>
      <c r="E718" s="422"/>
      <c r="F718" s="422"/>
      <c r="G718" s="422"/>
      <c r="H718" s="422"/>
      <c r="I718" s="422"/>
      <c r="J718" s="422"/>
      <c r="K718" s="422"/>
      <c r="L718" s="422"/>
      <c r="M718" s="422"/>
      <c r="N718" s="422"/>
      <c r="O718" s="422"/>
      <c r="P718" s="422"/>
      <c r="Q718" s="422"/>
      <c r="R718" s="422"/>
      <c r="S718" s="422"/>
      <c r="T718" s="422"/>
      <c r="U718" s="422"/>
      <c r="V718" s="422"/>
      <c r="W718" s="422"/>
      <c r="X718" s="422"/>
      <c r="Y718" s="422"/>
      <c r="Z718" s="422"/>
    </row>
    <row r="719" spans="1:26" ht="15" thickBot="1">
      <c r="A719" s="422"/>
      <c r="B719" s="422"/>
      <c r="C719" s="422"/>
      <c r="D719" s="422"/>
      <c r="E719" s="422"/>
      <c r="F719" s="422"/>
      <c r="G719" s="422"/>
      <c r="H719" s="422"/>
      <c r="I719" s="422"/>
      <c r="J719" s="422"/>
      <c r="K719" s="422"/>
      <c r="L719" s="422"/>
      <c r="M719" s="422"/>
      <c r="N719" s="422"/>
      <c r="O719" s="422"/>
      <c r="P719" s="422"/>
      <c r="Q719" s="422"/>
      <c r="R719" s="422"/>
      <c r="S719" s="422"/>
      <c r="T719" s="422"/>
      <c r="U719" s="422"/>
      <c r="V719" s="422"/>
      <c r="W719" s="422"/>
      <c r="X719" s="422"/>
      <c r="Y719" s="422"/>
      <c r="Z719" s="422"/>
    </row>
    <row r="720" spans="1:26" ht="15" thickBot="1">
      <c r="A720" s="422"/>
      <c r="B720" s="422"/>
      <c r="C720" s="422"/>
      <c r="D720" s="422"/>
      <c r="E720" s="422"/>
      <c r="F720" s="422"/>
      <c r="G720" s="422"/>
      <c r="H720" s="422"/>
      <c r="I720" s="422"/>
      <c r="J720" s="422"/>
      <c r="K720" s="422"/>
      <c r="L720" s="422"/>
      <c r="M720" s="422"/>
      <c r="N720" s="422"/>
      <c r="O720" s="422"/>
      <c r="P720" s="422"/>
      <c r="Q720" s="422"/>
      <c r="R720" s="422"/>
      <c r="S720" s="422"/>
      <c r="T720" s="422"/>
      <c r="U720" s="422"/>
      <c r="V720" s="422"/>
      <c r="W720" s="422"/>
      <c r="X720" s="422"/>
      <c r="Y720" s="422"/>
      <c r="Z720" s="422"/>
    </row>
    <row r="721" spans="1:26" ht="15" thickBot="1">
      <c r="A721" s="422"/>
      <c r="B721" s="422"/>
      <c r="C721" s="422"/>
      <c r="D721" s="422"/>
      <c r="E721" s="422"/>
      <c r="F721" s="422"/>
      <c r="G721" s="422"/>
      <c r="H721" s="422"/>
      <c r="I721" s="422"/>
      <c r="J721" s="422"/>
      <c r="K721" s="422"/>
      <c r="L721" s="422"/>
      <c r="M721" s="422"/>
      <c r="N721" s="422"/>
      <c r="O721" s="422"/>
      <c r="P721" s="422"/>
      <c r="Q721" s="422"/>
      <c r="R721" s="422"/>
      <c r="S721" s="422"/>
      <c r="T721" s="422"/>
      <c r="U721" s="422"/>
      <c r="V721" s="422"/>
      <c r="W721" s="422"/>
      <c r="X721" s="422"/>
      <c r="Y721" s="422"/>
      <c r="Z721" s="422"/>
    </row>
    <row r="722" spans="1:26" ht="15" thickBot="1">
      <c r="A722" s="422"/>
      <c r="B722" s="422"/>
      <c r="C722" s="422"/>
      <c r="D722" s="422"/>
      <c r="E722" s="422"/>
      <c r="F722" s="422"/>
      <c r="G722" s="422"/>
      <c r="H722" s="422"/>
      <c r="I722" s="422"/>
      <c r="J722" s="422"/>
      <c r="K722" s="422"/>
      <c r="L722" s="422"/>
      <c r="M722" s="422"/>
      <c r="N722" s="422"/>
      <c r="O722" s="422"/>
      <c r="P722" s="422"/>
      <c r="Q722" s="422"/>
      <c r="R722" s="422"/>
      <c r="S722" s="422"/>
      <c r="T722" s="422"/>
      <c r="U722" s="422"/>
      <c r="V722" s="422"/>
      <c r="W722" s="422"/>
      <c r="X722" s="422"/>
      <c r="Y722" s="422"/>
      <c r="Z722" s="422"/>
    </row>
    <row r="723" spans="1:26" ht="15" thickBot="1">
      <c r="A723" s="422"/>
      <c r="B723" s="422"/>
      <c r="C723" s="422"/>
      <c r="D723" s="422"/>
      <c r="E723" s="422"/>
      <c r="F723" s="422"/>
      <c r="G723" s="422"/>
      <c r="H723" s="422"/>
      <c r="I723" s="422"/>
      <c r="J723" s="422"/>
      <c r="K723" s="422"/>
      <c r="L723" s="422"/>
      <c r="M723" s="422"/>
      <c r="N723" s="422"/>
      <c r="O723" s="422"/>
      <c r="P723" s="422"/>
      <c r="Q723" s="422"/>
      <c r="R723" s="422"/>
      <c r="S723" s="422"/>
      <c r="T723" s="422"/>
      <c r="U723" s="422"/>
      <c r="V723" s="422"/>
      <c r="W723" s="422"/>
      <c r="X723" s="422"/>
      <c r="Y723" s="422"/>
      <c r="Z723" s="422"/>
    </row>
    <row r="724" spans="1:26" ht="15" thickBot="1">
      <c r="A724" s="422"/>
      <c r="B724" s="422"/>
      <c r="C724" s="422"/>
      <c r="D724" s="422"/>
      <c r="E724" s="422"/>
      <c r="F724" s="422"/>
      <c r="G724" s="422"/>
      <c r="H724" s="422"/>
      <c r="I724" s="422"/>
      <c r="J724" s="422"/>
      <c r="K724" s="422"/>
      <c r="L724" s="422"/>
      <c r="M724" s="422"/>
      <c r="N724" s="422"/>
      <c r="O724" s="422"/>
      <c r="P724" s="422"/>
      <c r="Q724" s="422"/>
      <c r="R724" s="422"/>
      <c r="S724" s="422"/>
      <c r="T724" s="422"/>
      <c r="U724" s="422"/>
      <c r="V724" s="422"/>
      <c r="W724" s="422"/>
      <c r="X724" s="422"/>
      <c r="Y724" s="422"/>
      <c r="Z724" s="422"/>
    </row>
    <row r="725" spans="1:26" ht="15" thickBot="1">
      <c r="A725" s="422"/>
      <c r="B725" s="422"/>
      <c r="C725" s="422"/>
      <c r="D725" s="422"/>
      <c r="E725" s="422"/>
      <c r="F725" s="422"/>
      <c r="G725" s="422"/>
      <c r="H725" s="422"/>
      <c r="I725" s="422"/>
      <c r="J725" s="422"/>
      <c r="K725" s="422"/>
      <c r="L725" s="422"/>
      <c r="M725" s="422"/>
      <c r="N725" s="422"/>
      <c r="O725" s="422"/>
      <c r="P725" s="422"/>
      <c r="Q725" s="422"/>
      <c r="R725" s="422"/>
      <c r="S725" s="422"/>
      <c r="T725" s="422"/>
      <c r="U725" s="422"/>
      <c r="V725" s="422"/>
      <c r="W725" s="422"/>
      <c r="X725" s="422"/>
      <c r="Y725" s="422"/>
      <c r="Z725" s="422"/>
    </row>
    <row r="726" spans="1:26" ht="15" thickBot="1">
      <c r="A726" s="422"/>
      <c r="B726" s="422"/>
      <c r="C726" s="422"/>
      <c r="D726" s="422"/>
      <c r="E726" s="422"/>
      <c r="F726" s="422"/>
      <c r="G726" s="422"/>
      <c r="H726" s="422"/>
      <c r="I726" s="422"/>
      <c r="J726" s="422"/>
      <c r="K726" s="422"/>
      <c r="L726" s="422"/>
      <c r="M726" s="422"/>
      <c r="N726" s="422"/>
      <c r="O726" s="422"/>
      <c r="P726" s="422"/>
      <c r="Q726" s="422"/>
      <c r="R726" s="422"/>
      <c r="S726" s="422"/>
      <c r="T726" s="422"/>
      <c r="U726" s="422"/>
      <c r="V726" s="422"/>
      <c r="W726" s="422"/>
      <c r="X726" s="422"/>
      <c r="Y726" s="422"/>
      <c r="Z726" s="422"/>
    </row>
    <row r="727" spans="1:26" ht="15" thickBot="1">
      <c r="A727" s="422"/>
      <c r="B727" s="422"/>
      <c r="C727" s="422"/>
      <c r="D727" s="422"/>
      <c r="E727" s="422"/>
      <c r="F727" s="422"/>
      <c r="G727" s="422"/>
      <c r="H727" s="422"/>
      <c r="I727" s="422"/>
      <c r="J727" s="422"/>
      <c r="K727" s="422"/>
      <c r="L727" s="422"/>
      <c r="M727" s="422"/>
      <c r="N727" s="422"/>
      <c r="O727" s="422"/>
      <c r="P727" s="422"/>
      <c r="Q727" s="422"/>
      <c r="R727" s="422"/>
      <c r="S727" s="422"/>
      <c r="T727" s="422"/>
      <c r="U727" s="422"/>
      <c r="V727" s="422"/>
      <c r="W727" s="422"/>
      <c r="X727" s="422"/>
      <c r="Y727" s="422"/>
      <c r="Z727" s="422"/>
    </row>
    <row r="728" spans="1:26" ht="15" thickBot="1">
      <c r="A728" s="422"/>
      <c r="B728" s="422"/>
      <c r="C728" s="422"/>
      <c r="D728" s="422"/>
      <c r="E728" s="422"/>
      <c r="F728" s="422"/>
      <c r="G728" s="422"/>
      <c r="H728" s="422"/>
      <c r="I728" s="422"/>
      <c r="J728" s="422"/>
      <c r="K728" s="422"/>
      <c r="L728" s="422"/>
      <c r="M728" s="422"/>
      <c r="N728" s="422"/>
      <c r="O728" s="422"/>
      <c r="P728" s="422"/>
      <c r="Q728" s="422"/>
      <c r="R728" s="422"/>
      <c r="S728" s="422"/>
      <c r="T728" s="422"/>
      <c r="U728" s="422"/>
      <c r="V728" s="422"/>
      <c r="W728" s="422"/>
      <c r="X728" s="422"/>
      <c r="Y728" s="422"/>
      <c r="Z728" s="422"/>
    </row>
    <row r="729" spans="1:26" ht="15" thickBot="1">
      <c r="A729" s="422"/>
      <c r="B729" s="422"/>
      <c r="C729" s="422"/>
      <c r="D729" s="422"/>
      <c r="E729" s="422"/>
      <c r="F729" s="422"/>
      <c r="G729" s="422"/>
      <c r="H729" s="422"/>
      <c r="I729" s="422"/>
      <c r="J729" s="422"/>
      <c r="K729" s="422"/>
      <c r="L729" s="422"/>
      <c r="M729" s="422"/>
      <c r="N729" s="422"/>
      <c r="O729" s="422"/>
      <c r="P729" s="422"/>
      <c r="Q729" s="422"/>
      <c r="R729" s="422"/>
      <c r="S729" s="422"/>
      <c r="T729" s="422"/>
      <c r="U729" s="422"/>
      <c r="V729" s="422"/>
      <c r="W729" s="422"/>
      <c r="X729" s="422"/>
      <c r="Y729" s="422"/>
      <c r="Z729" s="422"/>
    </row>
    <row r="730" spans="1:26" ht="15" thickBot="1">
      <c r="A730" s="422"/>
      <c r="B730" s="422"/>
      <c r="C730" s="422"/>
      <c r="D730" s="422"/>
      <c r="E730" s="422"/>
      <c r="F730" s="422"/>
      <c r="G730" s="422"/>
      <c r="H730" s="422"/>
      <c r="I730" s="422"/>
      <c r="J730" s="422"/>
      <c r="K730" s="422"/>
      <c r="L730" s="422"/>
      <c r="M730" s="422"/>
      <c r="N730" s="422"/>
      <c r="O730" s="422"/>
      <c r="P730" s="422"/>
      <c r="Q730" s="422"/>
      <c r="R730" s="422"/>
      <c r="S730" s="422"/>
      <c r="T730" s="422"/>
      <c r="U730" s="422"/>
      <c r="V730" s="422"/>
      <c r="W730" s="422"/>
      <c r="X730" s="422"/>
      <c r="Y730" s="422"/>
      <c r="Z730" s="422"/>
    </row>
    <row r="731" spans="1:26" ht="15" thickBot="1">
      <c r="A731" s="422"/>
      <c r="B731" s="422"/>
      <c r="C731" s="422"/>
      <c r="D731" s="422"/>
      <c r="E731" s="422"/>
      <c r="F731" s="422"/>
      <c r="G731" s="422"/>
      <c r="H731" s="422"/>
      <c r="I731" s="422"/>
      <c r="J731" s="422"/>
      <c r="K731" s="422"/>
      <c r="L731" s="422"/>
      <c r="M731" s="422"/>
      <c r="N731" s="422"/>
      <c r="O731" s="422"/>
      <c r="P731" s="422"/>
      <c r="Q731" s="422"/>
      <c r="R731" s="422"/>
      <c r="S731" s="422"/>
      <c r="T731" s="422"/>
      <c r="U731" s="422"/>
      <c r="V731" s="422"/>
      <c r="W731" s="422"/>
      <c r="X731" s="422"/>
      <c r="Y731" s="422"/>
      <c r="Z731" s="422"/>
    </row>
    <row r="732" spans="1:26" ht="15" thickBot="1">
      <c r="A732" s="422"/>
      <c r="B732" s="422"/>
      <c r="C732" s="422"/>
      <c r="D732" s="422"/>
      <c r="E732" s="422"/>
      <c r="F732" s="422"/>
      <c r="G732" s="422"/>
      <c r="H732" s="422"/>
      <c r="I732" s="422"/>
      <c r="J732" s="422"/>
      <c r="K732" s="422"/>
      <c r="L732" s="422"/>
      <c r="M732" s="422"/>
      <c r="N732" s="422"/>
      <c r="O732" s="422"/>
      <c r="P732" s="422"/>
      <c r="Q732" s="422"/>
      <c r="R732" s="422"/>
      <c r="S732" s="422"/>
      <c r="T732" s="422"/>
      <c r="U732" s="422"/>
      <c r="V732" s="422"/>
      <c r="W732" s="422"/>
      <c r="X732" s="422"/>
      <c r="Y732" s="422"/>
      <c r="Z732" s="422"/>
    </row>
    <row r="733" spans="1:26" ht="15" thickBot="1">
      <c r="A733" s="422"/>
      <c r="B733" s="422"/>
      <c r="C733" s="422"/>
      <c r="D733" s="422"/>
      <c r="E733" s="422"/>
      <c r="F733" s="422"/>
      <c r="G733" s="422"/>
      <c r="H733" s="422"/>
      <c r="I733" s="422"/>
      <c r="J733" s="422"/>
      <c r="K733" s="422"/>
      <c r="L733" s="422"/>
      <c r="M733" s="422"/>
      <c r="N733" s="422"/>
      <c r="O733" s="422"/>
      <c r="P733" s="422"/>
      <c r="Q733" s="422"/>
      <c r="R733" s="422"/>
      <c r="S733" s="422"/>
      <c r="T733" s="422"/>
      <c r="U733" s="422"/>
      <c r="V733" s="422"/>
      <c r="W733" s="422"/>
      <c r="X733" s="422"/>
      <c r="Y733" s="422"/>
      <c r="Z733" s="422"/>
    </row>
    <row r="734" spans="1:26" ht="15" thickBot="1">
      <c r="A734" s="422"/>
      <c r="B734" s="422"/>
      <c r="C734" s="422"/>
      <c r="D734" s="422"/>
      <c r="E734" s="422"/>
      <c r="F734" s="422"/>
      <c r="G734" s="422"/>
      <c r="H734" s="422"/>
      <c r="I734" s="422"/>
      <c r="J734" s="422"/>
      <c r="K734" s="422"/>
      <c r="L734" s="422"/>
      <c r="M734" s="422"/>
      <c r="N734" s="422"/>
      <c r="O734" s="422"/>
      <c r="P734" s="422"/>
      <c r="Q734" s="422"/>
      <c r="R734" s="422"/>
      <c r="S734" s="422"/>
      <c r="T734" s="422"/>
      <c r="U734" s="422"/>
      <c r="V734" s="422"/>
      <c r="W734" s="422"/>
      <c r="X734" s="422"/>
      <c r="Y734" s="422"/>
      <c r="Z734" s="422"/>
    </row>
    <row r="735" spans="1:26" ht="15" thickBot="1">
      <c r="A735" s="422"/>
      <c r="B735" s="422"/>
      <c r="C735" s="422"/>
      <c r="D735" s="422"/>
      <c r="E735" s="422"/>
      <c r="F735" s="422"/>
      <c r="G735" s="422"/>
      <c r="H735" s="422"/>
      <c r="I735" s="422"/>
      <c r="J735" s="422"/>
      <c r="K735" s="422"/>
      <c r="L735" s="422"/>
      <c r="M735" s="422"/>
      <c r="N735" s="422"/>
      <c r="O735" s="422"/>
      <c r="P735" s="422"/>
      <c r="Q735" s="422"/>
      <c r="R735" s="422"/>
      <c r="S735" s="422"/>
      <c r="T735" s="422"/>
      <c r="U735" s="422"/>
      <c r="V735" s="422"/>
      <c r="W735" s="422"/>
      <c r="X735" s="422"/>
      <c r="Y735" s="422"/>
      <c r="Z735" s="422"/>
    </row>
    <row r="736" spans="1:26" ht="15" thickBot="1">
      <c r="A736" s="422"/>
      <c r="B736" s="422"/>
      <c r="C736" s="422"/>
      <c r="D736" s="422"/>
      <c r="E736" s="422"/>
      <c r="F736" s="422"/>
      <c r="G736" s="422"/>
      <c r="H736" s="422"/>
      <c r="I736" s="422"/>
      <c r="J736" s="422"/>
      <c r="K736" s="422"/>
      <c r="L736" s="422"/>
      <c r="M736" s="422"/>
      <c r="N736" s="422"/>
      <c r="O736" s="422"/>
      <c r="P736" s="422"/>
      <c r="Q736" s="422"/>
      <c r="R736" s="422"/>
      <c r="S736" s="422"/>
      <c r="T736" s="422"/>
      <c r="U736" s="422"/>
      <c r="V736" s="422"/>
      <c r="W736" s="422"/>
      <c r="X736" s="422"/>
      <c r="Y736" s="422"/>
      <c r="Z736" s="422"/>
    </row>
    <row r="737" spans="1:26" ht="15" thickBot="1">
      <c r="A737" s="422"/>
      <c r="B737" s="422"/>
      <c r="C737" s="422"/>
      <c r="D737" s="422"/>
      <c r="E737" s="422"/>
      <c r="F737" s="422"/>
      <c r="G737" s="422"/>
      <c r="H737" s="422"/>
      <c r="I737" s="422"/>
      <c r="J737" s="422"/>
      <c r="K737" s="422"/>
      <c r="L737" s="422"/>
      <c r="M737" s="422"/>
      <c r="N737" s="422"/>
      <c r="O737" s="422"/>
      <c r="P737" s="422"/>
      <c r="Q737" s="422"/>
      <c r="R737" s="422"/>
      <c r="S737" s="422"/>
      <c r="T737" s="422"/>
      <c r="U737" s="422"/>
      <c r="V737" s="422"/>
      <c r="W737" s="422"/>
      <c r="X737" s="422"/>
      <c r="Y737" s="422"/>
      <c r="Z737" s="422"/>
    </row>
    <row r="738" spans="1:26" ht="15" thickBot="1">
      <c r="A738" s="422"/>
      <c r="B738" s="422"/>
      <c r="C738" s="422"/>
      <c r="D738" s="422"/>
      <c r="E738" s="422"/>
      <c r="F738" s="422"/>
      <c r="G738" s="422"/>
      <c r="H738" s="422"/>
      <c r="I738" s="422"/>
      <c r="J738" s="422"/>
      <c r="K738" s="422"/>
      <c r="L738" s="422"/>
      <c r="M738" s="422"/>
      <c r="N738" s="422"/>
      <c r="O738" s="422"/>
      <c r="P738" s="422"/>
      <c r="Q738" s="422"/>
      <c r="R738" s="422"/>
      <c r="S738" s="422"/>
      <c r="T738" s="422"/>
      <c r="U738" s="422"/>
      <c r="V738" s="422"/>
      <c r="W738" s="422"/>
      <c r="X738" s="422"/>
      <c r="Y738" s="422"/>
      <c r="Z738" s="422"/>
    </row>
    <row r="739" spans="1:26" ht="15" thickBot="1">
      <c r="A739" s="422"/>
      <c r="B739" s="422"/>
      <c r="C739" s="422"/>
      <c r="D739" s="422"/>
      <c r="E739" s="422"/>
      <c r="F739" s="422"/>
      <c r="G739" s="422"/>
      <c r="H739" s="422"/>
      <c r="I739" s="422"/>
      <c r="J739" s="422"/>
      <c r="K739" s="422"/>
      <c r="L739" s="422"/>
      <c r="M739" s="422"/>
      <c r="N739" s="422"/>
      <c r="O739" s="422"/>
      <c r="P739" s="422"/>
      <c r="Q739" s="422"/>
      <c r="R739" s="422"/>
      <c r="S739" s="422"/>
      <c r="T739" s="422"/>
      <c r="U739" s="422"/>
      <c r="V739" s="422"/>
      <c r="W739" s="422"/>
      <c r="X739" s="422"/>
      <c r="Y739" s="422"/>
      <c r="Z739" s="422"/>
    </row>
    <row r="740" spans="1:26" ht="15" thickBot="1">
      <c r="A740" s="422"/>
      <c r="B740" s="422"/>
      <c r="C740" s="422"/>
      <c r="D740" s="422"/>
      <c r="E740" s="422"/>
      <c r="F740" s="422"/>
      <c r="G740" s="422"/>
      <c r="H740" s="422"/>
      <c r="I740" s="422"/>
      <c r="J740" s="422"/>
      <c r="K740" s="422"/>
      <c r="L740" s="422"/>
      <c r="M740" s="422"/>
      <c r="N740" s="422"/>
      <c r="O740" s="422"/>
      <c r="P740" s="422"/>
      <c r="Q740" s="422"/>
      <c r="R740" s="422"/>
      <c r="S740" s="422"/>
      <c r="T740" s="422"/>
      <c r="U740" s="422"/>
      <c r="V740" s="422"/>
      <c r="W740" s="422"/>
      <c r="X740" s="422"/>
      <c r="Y740" s="422"/>
      <c r="Z740" s="422"/>
    </row>
    <row r="741" spans="1:26" ht="15" thickBot="1">
      <c r="A741" s="422"/>
      <c r="B741" s="422"/>
      <c r="C741" s="422"/>
      <c r="D741" s="422"/>
      <c r="E741" s="422"/>
      <c r="F741" s="422"/>
      <c r="G741" s="422"/>
      <c r="H741" s="422"/>
      <c r="I741" s="422"/>
      <c r="J741" s="422"/>
      <c r="K741" s="422"/>
      <c r="L741" s="422"/>
      <c r="M741" s="422"/>
      <c r="N741" s="422"/>
      <c r="O741" s="422"/>
      <c r="P741" s="422"/>
      <c r="Q741" s="422"/>
      <c r="R741" s="422"/>
      <c r="S741" s="422"/>
      <c r="T741" s="422"/>
      <c r="U741" s="422"/>
      <c r="V741" s="422"/>
      <c r="W741" s="422"/>
      <c r="X741" s="422"/>
      <c r="Y741" s="422"/>
      <c r="Z741" s="422"/>
    </row>
    <row r="742" spans="1:26" ht="15" thickBot="1">
      <c r="A742" s="422"/>
      <c r="B742" s="422"/>
      <c r="C742" s="422"/>
      <c r="D742" s="422"/>
      <c r="E742" s="422"/>
      <c r="F742" s="422"/>
      <c r="G742" s="422"/>
      <c r="H742" s="422"/>
      <c r="I742" s="422"/>
      <c r="J742" s="422"/>
      <c r="K742" s="422"/>
      <c r="L742" s="422"/>
      <c r="M742" s="422"/>
      <c r="N742" s="422"/>
      <c r="O742" s="422"/>
      <c r="P742" s="422"/>
      <c r="Q742" s="422"/>
      <c r="R742" s="422"/>
      <c r="S742" s="422"/>
      <c r="T742" s="422"/>
      <c r="U742" s="422"/>
      <c r="V742" s="422"/>
      <c r="W742" s="422"/>
      <c r="X742" s="422"/>
      <c r="Y742" s="422"/>
      <c r="Z742" s="422"/>
    </row>
    <row r="743" spans="1:26" ht="15" thickBot="1">
      <c r="A743" s="422"/>
      <c r="B743" s="422"/>
      <c r="C743" s="422"/>
      <c r="D743" s="422"/>
      <c r="E743" s="422"/>
      <c r="F743" s="422"/>
      <c r="G743" s="422"/>
      <c r="H743" s="422"/>
      <c r="I743" s="422"/>
      <c r="J743" s="422"/>
      <c r="K743" s="422"/>
      <c r="L743" s="422"/>
      <c r="M743" s="422"/>
      <c r="N743" s="422"/>
      <c r="O743" s="422"/>
      <c r="P743" s="422"/>
      <c r="Q743" s="422"/>
      <c r="R743" s="422"/>
      <c r="S743" s="422"/>
      <c r="T743" s="422"/>
      <c r="U743" s="422"/>
      <c r="V743" s="422"/>
      <c r="W743" s="422"/>
      <c r="X743" s="422"/>
      <c r="Y743" s="422"/>
      <c r="Z743" s="422"/>
    </row>
    <row r="744" spans="1:26" ht="15" thickBot="1">
      <c r="A744" s="422"/>
      <c r="B744" s="422"/>
      <c r="C744" s="422"/>
      <c r="D744" s="422"/>
      <c r="E744" s="422"/>
      <c r="F744" s="422"/>
      <c r="G744" s="422"/>
      <c r="H744" s="422"/>
      <c r="I744" s="422"/>
      <c r="J744" s="422"/>
      <c r="K744" s="422"/>
      <c r="L744" s="422"/>
      <c r="M744" s="422"/>
      <c r="N744" s="422"/>
      <c r="O744" s="422"/>
      <c r="P744" s="422"/>
      <c r="Q744" s="422"/>
      <c r="R744" s="422"/>
      <c r="S744" s="422"/>
      <c r="T744" s="422"/>
      <c r="U744" s="422"/>
      <c r="V744" s="422"/>
      <c r="W744" s="422"/>
      <c r="X744" s="422"/>
      <c r="Y744" s="422"/>
      <c r="Z744" s="422"/>
    </row>
    <row r="745" spans="1:26" ht="15" thickBot="1">
      <c r="A745" s="422"/>
      <c r="B745" s="422"/>
      <c r="C745" s="422"/>
      <c r="D745" s="422"/>
      <c r="E745" s="422"/>
      <c r="F745" s="422"/>
      <c r="G745" s="422"/>
      <c r="H745" s="422"/>
      <c r="I745" s="422"/>
      <c r="J745" s="422"/>
      <c r="K745" s="422"/>
      <c r="L745" s="422"/>
      <c r="M745" s="422"/>
      <c r="N745" s="422"/>
      <c r="O745" s="422"/>
      <c r="P745" s="422"/>
      <c r="Q745" s="422"/>
      <c r="R745" s="422"/>
      <c r="S745" s="422"/>
      <c r="T745" s="422"/>
      <c r="U745" s="422"/>
      <c r="V745" s="422"/>
      <c r="W745" s="422"/>
      <c r="X745" s="422"/>
      <c r="Y745" s="422"/>
      <c r="Z745" s="422"/>
    </row>
    <row r="746" spans="1:26" ht="15" thickBot="1">
      <c r="A746" s="422"/>
      <c r="B746" s="422"/>
      <c r="C746" s="422"/>
      <c r="D746" s="422"/>
      <c r="E746" s="422"/>
      <c r="F746" s="422"/>
      <c r="G746" s="422"/>
      <c r="H746" s="422"/>
      <c r="I746" s="422"/>
      <c r="J746" s="422"/>
      <c r="K746" s="422"/>
      <c r="L746" s="422"/>
      <c r="M746" s="422"/>
      <c r="N746" s="422"/>
      <c r="O746" s="422"/>
      <c r="P746" s="422"/>
      <c r="Q746" s="422"/>
      <c r="R746" s="422"/>
      <c r="S746" s="422"/>
      <c r="T746" s="422"/>
      <c r="U746" s="422"/>
      <c r="V746" s="422"/>
      <c r="W746" s="422"/>
      <c r="X746" s="422"/>
      <c r="Y746" s="422"/>
      <c r="Z746" s="422"/>
    </row>
    <row r="747" spans="1:26" ht="15" thickBot="1">
      <c r="A747" s="422"/>
      <c r="B747" s="422"/>
      <c r="C747" s="422"/>
      <c r="D747" s="422"/>
      <c r="E747" s="422"/>
      <c r="F747" s="422"/>
      <c r="G747" s="422"/>
      <c r="H747" s="422"/>
      <c r="I747" s="422"/>
      <c r="J747" s="422"/>
      <c r="K747" s="422"/>
      <c r="L747" s="422"/>
      <c r="M747" s="422"/>
      <c r="N747" s="422"/>
      <c r="O747" s="422"/>
      <c r="P747" s="422"/>
      <c r="Q747" s="422"/>
      <c r="R747" s="422"/>
      <c r="S747" s="422"/>
      <c r="T747" s="422"/>
      <c r="U747" s="422"/>
      <c r="V747" s="422"/>
      <c r="W747" s="422"/>
      <c r="X747" s="422"/>
      <c r="Y747" s="422"/>
      <c r="Z747" s="422"/>
    </row>
    <row r="748" spans="1:26" ht="15" thickBot="1">
      <c r="A748" s="422"/>
      <c r="B748" s="422"/>
      <c r="C748" s="422"/>
      <c r="D748" s="422"/>
      <c r="E748" s="422"/>
      <c r="F748" s="422"/>
      <c r="G748" s="422"/>
      <c r="H748" s="422"/>
      <c r="I748" s="422"/>
      <c r="J748" s="422"/>
      <c r="K748" s="422"/>
      <c r="L748" s="422"/>
      <c r="M748" s="422"/>
      <c r="N748" s="422"/>
      <c r="O748" s="422"/>
      <c r="P748" s="422"/>
      <c r="Q748" s="422"/>
      <c r="R748" s="422"/>
      <c r="S748" s="422"/>
      <c r="T748" s="422"/>
      <c r="U748" s="422"/>
      <c r="V748" s="422"/>
      <c r="W748" s="422"/>
      <c r="X748" s="422"/>
      <c r="Y748" s="422"/>
      <c r="Z748" s="422"/>
    </row>
    <row r="749" spans="1:26" ht="15" thickBot="1">
      <c r="A749" s="422"/>
      <c r="B749" s="422"/>
      <c r="C749" s="422"/>
      <c r="D749" s="422"/>
      <c r="E749" s="422"/>
      <c r="F749" s="422"/>
      <c r="G749" s="422"/>
      <c r="H749" s="422"/>
      <c r="I749" s="422"/>
      <c r="J749" s="422"/>
      <c r="K749" s="422"/>
      <c r="L749" s="422"/>
      <c r="M749" s="422"/>
      <c r="N749" s="422"/>
      <c r="O749" s="422"/>
      <c r="P749" s="422"/>
      <c r="Q749" s="422"/>
      <c r="R749" s="422"/>
      <c r="S749" s="422"/>
      <c r="T749" s="422"/>
      <c r="U749" s="422"/>
      <c r="V749" s="422"/>
      <c r="W749" s="422"/>
      <c r="X749" s="422"/>
      <c r="Y749" s="422"/>
      <c r="Z749" s="422"/>
    </row>
    <row r="750" spans="1:26" ht="15" thickBot="1">
      <c r="A750" s="422"/>
      <c r="B750" s="422"/>
      <c r="C750" s="422"/>
      <c r="D750" s="422"/>
      <c r="E750" s="422"/>
      <c r="F750" s="422"/>
      <c r="G750" s="422"/>
      <c r="H750" s="422"/>
      <c r="I750" s="422"/>
      <c r="J750" s="422"/>
      <c r="K750" s="422"/>
      <c r="L750" s="422"/>
      <c r="M750" s="422"/>
      <c r="N750" s="422"/>
      <c r="O750" s="422"/>
      <c r="P750" s="422"/>
      <c r="Q750" s="422"/>
      <c r="R750" s="422"/>
      <c r="S750" s="422"/>
      <c r="T750" s="422"/>
      <c r="U750" s="422"/>
      <c r="V750" s="422"/>
      <c r="W750" s="422"/>
      <c r="X750" s="422"/>
      <c r="Y750" s="422"/>
      <c r="Z750" s="422"/>
    </row>
    <row r="751" spans="1:26" ht="15" thickBot="1">
      <c r="A751" s="422"/>
      <c r="B751" s="422"/>
      <c r="C751" s="422"/>
      <c r="D751" s="422"/>
      <c r="E751" s="422"/>
      <c r="F751" s="422"/>
      <c r="G751" s="422"/>
      <c r="H751" s="422"/>
      <c r="I751" s="422"/>
      <c r="J751" s="422"/>
      <c r="K751" s="422"/>
      <c r="L751" s="422"/>
      <c r="M751" s="422"/>
      <c r="N751" s="422"/>
      <c r="O751" s="422"/>
      <c r="P751" s="422"/>
      <c r="Q751" s="422"/>
      <c r="R751" s="422"/>
      <c r="S751" s="422"/>
      <c r="T751" s="422"/>
      <c r="U751" s="422"/>
      <c r="V751" s="422"/>
      <c r="W751" s="422"/>
      <c r="X751" s="422"/>
      <c r="Y751" s="422"/>
      <c r="Z751" s="422"/>
    </row>
    <row r="752" spans="1:26" ht="15" thickBot="1">
      <c r="A752" s="422"/>
      <c r="B752" s="422"/>
      <c r="C752" s="422"/>
      <c r="D752" s="422"/>
      <c r="E752" s="422"/>
      <c r="F752" s="422"/>
      <c r="G752" s="422"/>
      <c r="H752" s="422"/>
      <c r="I752" s="422"/>
      <c r="J752" s="422"/>
      <c r="K752" s="422"/>
      <c r="L752" s="422"/>
      <c r="M752" s="422"/>
      <c r="N752" s="422"/>
      <c r="O752" s="422"/>
      <c r="P752" s="422"/>
      <c r="Q752" s="422"/>
      <c r="R752" s="422"/>
      <c r="S752" s="422"/>
      <c r="T752" s="422"/>
      <c r="U752" s="422"/>
      <c r="V752" s="422"/>
      <c r="W752" s="422"/>
      <c r="X752" s="422"/>
      <c r="Y752" s="422"/>
      <c r="Z752" s="422"/>
    </row>
    <row r="753" spans="1:26" ht="15" thickBot="1">
      <c r="A753" s="422"/>
      <c r="B753" s="422"/>
      <c r="C753" s="422"/>
      <c r="D753" s="422"/>
      <c r="E753" s="422"/>
      <c r="F753" s="422"/>
      <c r="G753" s="422"/>
      <c r="H753" s="422"/>
      <c r="I753" s="422"/>
      <c r="J753" s="422"/>
      <c r="K753" s="422"/>
      <c r="L753" s="422"/>
      <c r="M753" s="422"/>
      <c r="N753" s="422"/>
      <c r="O753" s="422"/>
      <c r="P753" s="422"/>
      <c r="Q753" s="422"/>
      <c r="R753" s="422"/>
      <c r="S753" s="422"/>
      <c r="T753" s="422"/>
      <c r="U753" s="422"/>
      <c r="V753" s="422"/>
      <c r="W753" s="422"/>
      <c r="X753" s="422"/>
      <c r="Y753" s="422"/>
      <c r="Z753" s="422"/>
    </row>
    <row r="754" spans="1:26" ht="15" thickBot="1">
      <c r="A754" s="422"/>
      <c r="B754" s="422"/>
      <c r="C754" s="422"/>
      <c r="D754" s="422"/>
      <c r="E754" s="422"/>
      <c r="F754" s="422"/>
      <c r="G754" s="422"/>
      <c r="H754" s="422"/>
      <c r="I754" s="422"/>
      <c r="J754" s="422"/>
      <c r="K754" s="422"/>
      <c r="L754" s="422"/>
      <c r="M754" s="422"/>
      <c r="N754" s="422"/>
      <c r="O754" s="422"/>
      <c r="P754" s="422"/>
      <c r="Q754" s="422"/>
      <c r="R754" s="422"/>
      <c r="S754" s="422"/>
      <c r="T754" s="422"/>
      <c r="U754" s="422"/>
      <c r="V754" s="422"/>
      <c r="W754" s="422"/>
      <c r="X754" s="422"/>
      <c r="Y754" s="422"/>
      <c r="Z754" s="422"/>
    </row>
    <row r="755" spans="1:26" ht="15" thickBot="1">
      <c r="A755" s="422"/>
      <c r="B755" s="422"/>
      <c r="C755" s="422"/>
      <c r="D755" s="422"/>
      <c r="E755" s="422"/>
      <c r="F755" s="422"/>
      <c r="G755" s="422"/>
      <c r="H755" s="422"/>
      <c r="I755" s="422"/>
      <c r="J755" s="422"/>
      <c r="K755" s="422"/>
      <c r="L755" s="422"/>
      <c r="M755" s="422"/>
      <c r="N755" s="422"/>
      <c r="O755" s="422"/>
      <c r="P755" s="422"/>
      <c r="Q755" s="422"/>
      <c r="R755" s="422"/>
      <c r="S755" s="422"/>
      <c r="T755" s="422"/>
      <c r="U755" s="422"/>
      <c r="V755" s="422"/>
      <c r="W755" s="422"/>
      <c r="X755" s="422"/>
      <c r="Y755" s="422"/>
      <c r="Z755" s="422"/>
    </row>
    <row r="756" spans="1:26" ht="15" thickBot="1">
      <c r="A756" s="422"/>
      <c r="B756" s="422"/>
      <c r="C756" s="422"/>
      <c r="D756" s="422"/>
      <c r="E756" s="422"/>
      <c r="F756" s="422"/>
      <c r="G756" s="422"/>
      <c r="H756" s="422"/>
      <c r="I756" s="422"/>
      <c r="J756" s="422"/>
      <c r="K756" s="422"/>
      <c r="L756" s="422"/>
      <c r="M756" s="422"/>
      <c r="N756" s="422"/>
      <c r="O756" s="422"/>
      <c r="P756" s="422"/>
      <c r="Q756" s="422"/>
      <c r="R756" s="422"/>
      <c r="S756" s="422"/>
      <c r="T756" s="422"/>
      <c r="U756" s="422"/>
      <c r="V756" s="422"/>
      <c r="W756" s="422"/>
      <c r="X756" s="422"/>
      <c r="Y756" s="422"/>
      <c r="Z756" s="422"/>
    </row>
    <row r="757" spans="1:26" ht="15" thickBot="1">
      <c r="A757" s="422"/>
      <c r="B757" s="422"/>
      <c r="C757" s="422"/>
      <c r="D757" s="422"/>
      <c r="E757" s="422"/>
      <c r="F757" s="422"/>
      <c r="G757" s="422"/>
      <c r="H757" s="422"/>
      <c r="I757" s="422"/>
      <c r="J757" s="422"/>
      <c r="K757" s="422"/>
      <c r="L757" s="422"/>
      <c r="M757" s="422"/>
      <c r="N757" s="422"/>
      <c r="O757" s="422"/>
      <c r="P757" s="422"/>
      <c r="Q757" s="422"/>
      <c r="R757" s="422"/>
      <c r="S757" s="422"/>
      <c r="T757" s="422"/>
      <c r="U757" s="422"/>
      <c r="V757" s="422"/>
      <c r="W757" s="422"/>
      <c r="X757" s="422"/>
      <c r="Y757" s="422"/>
      <c r="Z757" s="422"/>
    </row>
    <row r="758" spans="1:26" ht="15" thickBot="1">
      <c r="A758" s="422"/>
      <c r="B758" s="422"/>
      <c r="C758" s="422"/>
      <c r="D758" s="422"/>
      <c r="E758" s="422"/>
      <c r="F758" s="422"/>
      <c r="G758" s="422"/>
      <c r="H758" s="422"/>
      <c r="I758" s="422"/>
      <c r="J758" s="422"/>
      <c r="K758" s="422"/>
      <c r="L758" s="422"/>
      <c r="M758" s="422"/>
      <c r="N758" s="422"/>
      <c r="O758" s="422"/>
      <c r="P758" s="422"/>
      <c r="Q758" s="422"/>
      <c r="R758" s="422"/>
      <c r="S758" s="422"/>
      <c r="T758" s="422"/>
      <c r="U758" s="422"/>
      <c r="V758" s="422"/>
      <c r="W758" s="422"/>
      <c r="X758" s="422"/>
      <c r="Y758" s="422"/>
      <c r="Z758" s="422"/>
    </row>
    <row r="759" spans="1:26" ht="15" thickBot="1">
      <c r="A759" s="422"/>
      <c r="B759" s="422"/>
      <c r="C759" s="422"/>
      <c r="D759" s="422"/>
      <c r="E759" s="422"/>
      <c r="F759" s="422"/>
      <c r="G759" s="422"/>
      <c r="H759" s="422"/>
      <c r="I759" s="422"/>
      <c r="J759" s="422"/>
      <c r="K759" s="422"/>
      <c r="L759" s="422"/>
      <c r="M759" s="422"/>
      <c r="N759" s="422"/>
      <c r="O759" s="422"/>
      <c r="P759" s="422"/>
      <c r="Q759" s="422"/>
      <c r="R759" s="422"/>
      <c r="S759" s="422"/>
      <c r="T759" s="422"/>
      <c r="U759" s="422"/>
      <c r="V759" s="422"/>
      <c r="W759" s="422"/>
      <c r="X759" s="422"/>
      <c r="Y759" s="422"/>
      <c r="Z759" s="422"/>
    </row>
    <row r="760" spans="1:26" ht="15" thickBot="1">
      <c r="A760" s="422"/>
      <c r="B760" s="422"/>
      <c r="C760" s="422"/>
      <c r="D760" s="422"/>
      <c r="E760" s="422"/>
      <c r="F760" s="422"/>
      <c r="G760" s="422"/>
      <c r="H760" s="422"/>
      <c r="I760" s="422"/>
      <c r="J760" s="422"/>
      <c r="K760" s="422"/>
      <c r="L760" s="422"/>
      <c r="M760" s="422"/>
      <c r="N760" s="422"/>
      <c r="O760" s="422"/>
      <c r="P760" s="422"/>
      <c r="Q760" s="422"/>
      <c r="R760" s="422"/>
      <c r="S760" s="422"/>
      <c r="T760" s="422"/>
      <c r="U760" s="422"/>
      <c r="V760" s="422"/>
      <c r="W760" s="422"/>
      <c r="X760" s="422"/>
      <c r="Y760" s="422"/>
      <c r="Z760" s="422"/>
    </row>
    <row r="761" spans="1:26" ht="15" thickBot="1">
      <c r="A761" s="422"/>
      <c r="B761" s="422"/>
      <c r="C761" s="422"/>
      <c r="D761" s="422"/>
      <c r="E761" s="422"/>
      <c r="F761" s="422"/>
      <c r="G761" s="422"/>
      <c r="H761" s="422"/>
      <c r="I761" s="422"/>
      <c r="J761" s="422"/>
      <c r="K761" s="422"/>
      <c r="L761" s="422"/>
      <c r="M761" s="422"/>
      <c r="N761" s="422"/>
      <c r="O761" s="422"/>
      <c r="P761" s="422"/>
      <c r="Q761" s="422"/>
      <c r="R761" s="422"/>
      <c r="S761" s="422"/>
      <c r="T761" s="422"/>
      <c r="U761" s="422"/>
      <c r="V761" s="422"/>
      <c r="W761" s="422"/>
      <c r="X761" s="422"/>
      <c r="Y761" s="422"/>
      <c r="Z761" s="422"/>
    </row>
    <row r="762" spans="1:26" ht="15" thickBot="1">
      <c r="A762" s="422"/>
      <c r="B762" s="422"/>
      <c r="C762" s="422"/>
      <c r="D762" s="422"/>
      <c r="E762" s="422"/>
      <c r="F762" s="422"/>
      <c r="G762" s="422"/>
      <c r="H762" s="422"/>
      <c r="I762" s="422"/>
      <c r="J762" s="422"/>
      <c r="K762" s="422"/>
      <c r="L762" s="422"/>
      <c r="M762" s="422"/>
      <c r="N762" s="422"/>
      <c r="O762" s="422"/>
      <c r="P762" s="422"/>
      <c r="Q762" s="422"/>
      <c r="R762" s="422"/>
      <c r="S762" s="422"/>
      <c r="T762" s="422"/>
      <c r="U762" s="422"/>
      <c r="V762" s="422"/>
      <c r="W762" s="422"/>
      <c r="X762" s="422"/>
      <c r="Y762" s="422"/>
      <c r="Z762" s="422"/>
    </row>
    <row r="763" spans="1:26" ht="15" thickBot="1">
      <c r="A763" s="422"/>
      <c r="B763" s="422"/>
      <c r="C763" s="422"/>
      <c r="D763" s="422"/>
      <c r="E763" s="422"/>
      <c r="F763" s="422"/>
      <c r="G763" s="422"/>
      <c r="H763" s="422"/>
      <c r="I763" s="422"/>
      <c r="J763" s="422"/>
      <c r="K763" s="422"/>
      <c r="L763" s="422"/>
      <c r="M763" s="422"/>
      <c r="N763" s="422"/>
      <c r="O763" s="422"/>
      <c r="P763" s="422"/>
      <c r="Q763" s="422"/>
      <c r="R763" s="422"/>
      <c r="S763" s="422"/>
      <c r="T763" s="422"/>
      <c r="U763" s="422"/>
      <c r="V763" s="422"/>
      <c r="W763" s="422"/>
      <c r="X763" s="422"/>
      <c r="Y763" s="422"/>
      <c r="Z763" s="422"/>
    </row>
    <row r="764" spans="1:26" ht="15" thickBot="1">
      <c r="A764" s="422"/>
      <c r="B764" s="422"/>
      <c r="C764" s="422"/>
      <c r="D764" s="422"/>
      <c r="E764" s="422"/>
      <c r="F764" s="422"/>
      <c r="G764" s="422"/>
      <c r="H764" s="422"/>
      <c r="I764" s="422"/>
      <c r="J764" s="422"/>
      <c r="K764" s="422"/>
      <c r="L764" s="422"/>
      <c r="M764" s="422"/>
      <c r="N764" s="422"/>
      <c r="O764" s="422"/>
      <c r="P764" s="422"/>
      <c r="Q764" s="422"/>
      <c r="R764" s="422"/>
      <c r="S764" s="422"/>
      <c r="T764" s="422"/>
      <c r="U764" s="422"/>
      <c r="V764" s="422"/>
      <c r="W764" s="422"/>
      <c r="X764" s="422"/>
      <c r="Y764" s="422"/>
      <c r="Z764" s="422"/>
    </row>
    <row r="765" spans="1:26" ht="15" thickBot="1">
      <c r="A765" s="422"/>
      <c r="B765" s="422"/>
      <c r="C765" s="422"/>
      <c r="D765" s="422"/>
      <c r="E765" s="422"/>
      <c r="F765" s="422"/>
      <c r="G765" s="422"/>
      <c r="H765" s="422"/>
      <c r="I765" s="422"/>
      <c r="J765" s="422"/>
      <c r="K765" s="422"/>
      <c r="L765" s="422"/>
      <c r="M765" s="422"/>
      <c r="N765" s="422"/>
      <c r="O765" s="422"/>
      <c r="P765" s="422"/>
      <c r="Q765" s="422"/>
      <c r="R765" s="422"/>
      <c r="S765" s="422"/>
      <c r="T765" s="422"/>
      <c r="U765" s="422"/>
      <c r="V765" s="422"/>
      <c r="W765" s="422"/>
      <c r="X765" s="422"/>
      <c r="Y765" s="422"/>
      <c r="Z765" s="422"/>
    </row>
    <row r="766" spans="1:26" ht="15" thickBot="1">
      <c r="A766" s="422"/>
      <c r="B766" s="422"/>
      <c r="C766" s="422"/>
      <c r="D766" s="422"/>
      <c r="E766" s="422"/>
      <c r="F766" s="422"/>
      <c r="G766" s="422"/>
      <c r="H766" s="422"/>
      <c r="I766" s="422"/>
      <c r="J766" s="422"/>
      <c r="K766" s="422"/>
      <c r="L766" s="422"/>
      <c r="M766" s="422"/>
      <c r="N766" s="422"/>
      <c r="O766" s="422"/>
      <c r="P766" s="422"/>
      <c r="Q766" s="422"/>
      <c r="R766" s="422"/>
      <c r="S766" s="422"/>
      <c r="T766" s="422"/>
      <c r="U766" s="422"/>
      <c r="V766" s="422"/>
      <c r="W766" s="422"/>
      <c r="X766" s="422"/>
      <c r="Y766" s="422"/>
      <c r="Z766" s="422"/>
    </row>
    <row r="767" spans="1:26" ht="15" thickBot="1">
      <c r="A767" s="422"/>
      <c r="B767" s="422"/>
      <c r="C767" s="422"/>
      <c r="D767" s="422"/>
      <c r="E767" s="422"/>
      <c r="F767" s="422"/>
      <c r="G767" s="422"/>
      <c r="H767" s="422"/>
      <c r="I767" s="422"/>
      <c r="J767" s="422"/>
      <c r="K767" s="422"/>
      <c r="L767" s="422"/>
      <c r="M767" s="422"/>
      <c r="N767" s="422"/>
      <c r="O767" s="422"/>
      <c r="P767" s="422"/>
      <c r="Q767" s="422"/>
      <c r="R767" s="422"/>
      <c r="S767" s="422"/>
      <c r="T767" s="422"/>
      <c r="U767" s="422"/>
      <c r="V767" s="422"/>
      <c r="W767" s="422"/>
      <c r="X767" s="422"/>
      <c r="Y767" s="422"/>
      <c r="Z767" s="422"/>
    </row>
    <row r="768" spans="1:26" ht="15" thickBot="1">
      <c r="A768" s="422"/>
      <c r="B768" s="422"/>
      <c r="C768" s="422"/>
      <c r="D768" s="422"/>
      <c r="E768" s="422"/>
      <c r="F768" s="422"/>
      <c r="G768" s="422"/>
      <c r="H768" s="422"/>
      <c r="I768" s="422"/>
      <c r="J768" s="422"/>
      <c r="K768" s="422"/>
      <c r="L768" s="422"/>
      <c r="M768" s="422"/>
      <c r="N768" s="422"/>
      <c r="O768" s="422"/>
      <c r="P768" s="422"/>
      <c r="Q768" s="422"/>
      <c r="R768" s="422"/>
      <c r="S768" s="422"/>
      <c r="T768" s="422"/>
      <c r="U768" s="422"/>
      <c r="V768" s="422"/>
      <c r="W768" s="422"/>
      <c r="X768" s="422"/>
      <c r="Y768" s="422"/>
      <c r="Z768" s="422"/>
    </row>
    <row r="769" spans="1:26" ht="15" thickBot="1">
      <c r="A769" s="422"/>
      <c r="B769" s="422"/>
      <c r="C769" s="422"/>
      <c r="D769" s="422"/>
      <c r="E769" s="422"/>
      <c r="F769" s="422"/>
      <c r="G769" s="422"/>
      <c r="H769" s="422"/>
      <c r="I769" s="422"/>
      <c r="J769" s="422"/>
      <c r="K769" s="422"/>
      <c r="L769" s="422"/>
      <c r="M769" s="422"/>
      <c r="N769" s="422"/>
      <c r="O769" s="422"/>
      <c r="P769" s="422"/>
      <c r="Q769" s="422"/>
      <c r="R769" s="422"/>
      <c r="S769" s="422"/>
      <c r="T769" s="422"/>
      <c r="U769" s="422"/>
      <c r="V769" s="422"/>
      <c r="W769" s="422"/>
      <c r="X769" s="422"/>
      <c r="Y769" s="422"/>
      <c r="Z769" s="422"/>
    </row>
    <row r="770" spans="1:26" ht="15" thickBot="1">
      <c r="A770" s="422"/>
      <c r="B770" s="422"/>
      <c r="C770" s="422"/>
      <c r="D770" s="422"/>
      <c r="E770" s="422"/>
      <c r="F770" s="422"/>
      <c r="G770" s="422"/>
      <c r="H770" s="422"/>
      <c r="I770" s="422"/>
      <c r="J770" s="422"/>
      <c r="K770" s="422"/>
      <c r="L770" s="422"/>
      <c r="M770" s="422"/>
      <c r="N770" s="422"/>
      <c r="O770" s="422"/>
      <c r="P770" s="422"/>
      <c r="Q770" s="422"/>
      <c r="R770" s="422"/>
      <c r="S770" s="422"/>
      <c r="T770" s="422"/>
      <c r="U770" s="422"/>
      <c r="V770" s="422"/>
      <c r="W770" s="422"/>
      <c r="X770" s="422"/>
      <c r="Y770" s="422"/>
      <c r="Z770" s="422"/>
    </row>
    <row r="771" spans="1:26" ht="15" thickBot="1">
      <c r="A771" s="422"/>
      <c r="B771" s="422"/>
      <c r="C771" s="422"/>
      <c r="D771" s="422"/>
      <c r="E771" s="422"/>
      <c r="F771" s="422"/>
      <c r="G771" s="422"/>
      <c r="H771" s="422"/>
      <c r="I771" s="422"/>
      <c r="J771" s="422"/>
      <c r="K771" s="422"/>
      <c r="L771" s="422"/>
      <c r="M771" s="422"/>
      <c r="N771" s="422"/>
      <c r="O771" s="422"/>
      <c r="P771" s="422"/>
      <c r="Q771" s="422"/>
      <c r="R771" s="422"/>
      <c r="S771" s="422"/>
      <c r="T771" s="422"/>
      <c r="U771" s="422"/>
      <c r="V771" s="422"/>
      <c r="W771" s="422"/>
      <c r="X771" s="422"/>
      <c r="Y771" s="422"/>
      <c r="Z771" s="422"/>
    </row>
    <row r="772" spans="1:26" ht="15" thickBot="1">
      <c r="A772" s="422"/>
      <c r="B772" s="422"/>
      <c r="C772" s="422"/>
      <c r="D772" s="422"/>
      <c r="E772" s="422"/>
      <c r="F772" s="422"/>
      <c r="G772" s="422"/>
      <c r="H772" s="422"/>
      <c r="I772" s="422"/>
      <c r="J772" s="422"/>
      <c r="K772" s="422"/>
      <c r="L772" s="422"/>
      <c r="M772" s="422"/>
      <c r="N772" s="422"/>
      <c r="O772" s="422"/>
      <c r="P772" s="422"/>
      <c r="Q772" s="422"/>
      <c r="R772" s="422"/>
      <c r="S772" s="422"/>
      <c r="T772" s="422"/>
      <c r="U772" s="422"/>
      <c r="V772" s="422"/>
      <c r="W772" s="422"/>
      <c r="X772" s="422"/>
      <c r="Y772" s="422"/>
      <c r="Z772" s="422"/>
    </row>
    <row r="773" spans="1:26" ht="15" thickBot="1">
      <c r="A773" s="422"/>
      <c r="B773" s="422"/>
      <c r="C773" s="422"/>
      <c r="D773" s="422"/>
      <c r="E773" s="422"/>
      <c r="F773" s="422"/>
      <c r="G773" s="422"/>
      <c r="H773" s="422"/>
      <c r="I773" s="422"/>
      <c r="J773" s="422"/>
      <c r="K773" s="422"/>
      <c r="L773" s="422"/>
      <c r="M773" s="422"/>
      <c r="N773" s="422"/>
      <c r="O773" s="422"/>
      <c r="P773" s="422"/>
      <c r="Q773" s="422"/>
      <c r="R773" s="422"/>
      <c r="S773" s="422"/>
      <c r="T773" s="422"/>
      <c r="U773" s="422"/>
      <c r="V773" s="422"/>
      <c r="W773" s="422"/>
      <c r="X773" s="422"/>
      <c r="Y773" s="422"/>
      <c r="Z773" s="422"/>
    </row>
    <row r="774" spans="1:26" ht="15" thickBot="1">
      <c r="A774" s="422"/>
      <c r="B774" s="422"/>
      <c r="C774" s="422"/>
      <c r="D774" s="422"/>
      <c r="E774" s="422"/>
      <c r="F774" s="422"/>
      <c r="G774" s="422"/>
      <c r="H774" s="422"/>
      <c r="I774" s="422"/>
      <c r="J774" s="422"/>
      <c r="K774" s="422"/>
      <c r="L774" s="422"/>
      <c r="M774" s="422"/>
      <c r="N774" s="422"/>
      <c r="O774" s="422"/>
      <c r="P774" s="422"/>
      <c r="Q774" s="422"/>
      <c r="R774" s="422"/>
      <c r="S774" s="422"/>
      <c r="T774" s="422"/>
      <c r="U774" s="422"/>
      <c r="V774" s="422"/>
      <c r="W774" s="422"/>
      <c r="X774" s="422"/>
      <c r="Y774" s="422"/>
      <c r="Z774" s="422"/>
    </row>
    <row r="775" spans="1:26" ht="15" thickBot="1">
      <c r="A775" s="422"/>
      <c r="B775" s="422"/>
      <c r="C775" s="422"/>
      <c r="D775" s="422"/>
      <c r="E775" s="422"/>
      <c r="F775" s="422"/>
      <c r="G775" s="422"/>
      <c r="H775" s="422"/>
      <c r="I775" s="422"/>
      <c r="J775" s="422"/>
      <c r="K775" s="422"/>
      <c r="L775" s="422"/>
      <c r="M775" s="422"/>
      <c r="N775" s="422"/>
      <c r="O775" s="422"/>
      <c r="P775" s="422"/>
      <c r="Q775" s="422"/>
      <c r="R775" s="422"/>
      <c r="S775" s="422"/>
      <c r="T775" s="422"/>
      <c r="U775" s="422"/>
      <c r="V775" s="422"/>
      <c r="W775" s="422"/>
      <c r="X775" s="422"/>
      <c r="Y775" s="422"/>
      <c r="Z775" s="422"/>
    </row>
    <row r="776" spans="1:26" ht="15" thickBot="1">
      <c r="A776" s="422"/>
      <c r="B776" s="422"/>
      <c r="C776" s="422"/>
      <c r="D776" s="422"/>
      <c r="E776" s="422"/>
      <c r="F776" s="422"/>
      <c r="G776" s="422"/>
      <c r="H776" s="422"/>
      <c r="I776" s="422"/>
      <c r="J776" s="422"/>
      <c r="K776" s="422"/>
      <c r="L776" s="422"/>
      <c r="M776" s="422"/>
      <c r="N776" s="422"/>
      <c r="O776" s="422"/>
      <c r="P776" s="422"/>
      <c r="Q776" s="422"/>
      <c r="R776" s="422"/>
      <c r="S776" s="422"/>
      <c r="T776" s="422"/>
      <c r="U776" s="422"/>
      <c r="V776" s="422"/>
      <c r="W776" s="422"/>
      <c r="X776" s="422"/>
      <c r="Y776" s="422"/>
      <c r="Z776" s="422"/>
    </row>
    <row r="777" spans="1:26" ht="15" thickBot="1">
      <c r="A777" s="422"/>
      <c r="B777" s="422"/>
      <c r="C777" s="422"/>
      <c r="D777" s="422"/>
      <c r="E777" s="422"/>
      <c r="F777" s="422"/>
      <c r="G777" s="422"/>
      <c r="H777" s="422"/>
      <c r="I777" s="422"/>
      <c r="J777" s="422"/>
      <c r="K777" s="422"/>
      <c r="L777" s="422"/>
      <c r="M777" s="422"/>
      <c r="N777" s="422"/>
      <c r="O777" s="422"/>
      <c r="P777" s="422"/>
      <c r="Q777" s="422"/>
      <c r="R777" s="422"/>
      <c r="S777" s="422"/>
      <c r="T777" s="422"/>
      <c r="U777" s="422"/>
      <c r="V777" s="422"/>
      <c r="W777" s="422"/>
      <c r="X777" s="422"/>
      <c r="Y777" s="422"/>
      <c r="Z777" s="422"/>
    </row>
    <row r="778" spans="1:26" ht="15" thickBot="1">
      <c r="A778" s="422"/>
      <c r="B778" s="422"/>
      <c r="C778" s="422"/>
      <c r="D778" s="422"/>
      <c r="E778" s="422"/>
      <c r="F778" s="422"/>
      <c r="G778" s="422"/>
      <c r="H778" s="422"/>
      <c r="I778" s="422"/>
      <c r="J778" s="422"/>
      <c r="K778" s="422"/>
      <c r="L778" s="422"/>
      <c r="M778" s="422"/>
      <c r="N778" s="422"/>
      <c r="O778" s="422"/>
      <c r="P778" s="422"/>
      <c r="Q778" s="422"/>
      <c r="R778" s="422"/>
      <c r="S778" s="422"/>
      <c r="T778" s="422"/>
      <c r="U778" s="422"/>
      <c r="V778" s="422"/>
      <c r="W778" s="422"/>
      <c r="X778" s="422"/>
      <c r="Y778" s="422"/>
      <c r="Z778" s="422"/>
    </row>
    <row r="779" spans="1:26" ht="15" thickBot="1">
      <c r="A779" s="422"/>
      <c r="B779" s="422"/>
      <c r="C779" s="422"/>
      <c r="D779" s="422"/>
      <c r="E779" s="422"/>
      <c r="F779" s="422"/>
      <c r="G779" s="422"/>
      <c r="H779" s="422"/>
      <c r="I779" s="422"/>
      <c r="J779" s="422"/>
      <c r="K779" s="422"/>
      <c r="L779" s="422"/>
      <c r="M779" s="422"/>
      <c r="N779" s="422"/>
      <c r="O779" s="422"/>
      <c r="P779" s="422"/>
      <c r="Q779" s="422"/>
      <c r="R779" s="422"/>
      <c r="S779" s="422"/>
      <c r="T779" s="422"/>
      <c r="U779" s="422"/>
      <c r="V779" s="422"/>
      <c r="W779" s="422"/>
      <c r="X779" s="422"/>
      <c r="Y779" s="422"/>
      <c r="Z779" s="422"/>
    </row>
    <row r="780" spans="1:26" ht="15" thickBot="1">
      <c r="A780" s="422"/>
      <c r="B780" s="422"/>
      <c r="C780" s="422"/>
      <c r="D780" s="422"/>
      <c r="E780" s="422"/>
      <c r="F780" s="422"/>
      <c r="G780" s="422"/>
      <c r="H780" s="422"/>
      <c r="I780" s="422"/>
      <c r="J780" s="422"/>
      <c r="K780" s="422"/>
      <c r="L780" s="422"/>
      <c r="M780" s="422"/>
      <c r="N780" s="422"/>
      <c r="O780" s="422"/>
      <c r="P780" s="422"/>
      <c r="Q780" s="422"/>
      <c r="R780" s="422"/>
      <c r="S780" s="422"/>
      <c r="T780" s="422"/>
      <c r="U780" s="422"/>
      <c r="V780" s="422"/>
      <c r="W780" s="422"/>
      <c r="X780" s="422"/>
      <c r="Y780" s="422"/>
      <c r="Z780" s="422"/>
    </row>
    <row r="781" spans="1:26" ht="15" thickBot="1">
      <c r="A781" s="422"/>
      <c r="B781" s="422"/>
      <c r="C781" s="422"/>
      <c r="D781" s="422"/>
      <c r="E781" s="422"/>
      <c r="F781" s="422"/>
      <c r="G781" s="422"/>
      <c r="H781" s="422"/>
      <c r="I781" s="422"/>
      <c r="J781" s="422"/>
      <c r="K781" s="422"/>
      <c r="L781" s="422"/>
      <c r="M781" s="422"/>
      <c r="N781" s="422"/>
      <c r="O781" s="422"/>
      <c r="P781" s="422"/>
      <c r="Q781" s="422"/>
      <c r="R781" s="422"/>
      <c r="S781" s="422"/>
      <c r="T781" s="422"/>
      <c r="U781" s="422"/>
      <c r="V781" s="422"/>
      <c r="W781" s="422"/>
      <c r="X781" s="422"/>
      <c r="Y781" s="422"/>
      <c r="Z781" s="422"/>
    </row>
    <row r="782" spans="1:26" ht="15" thickBot="1">
      <c r="A782" s="422"/>
      <c r="B782" s="422"/>
      <c r="C782" s="422"/>
      <c r="D782" s="422"/>
      <c r="E782" s="422"/>
      <c r="F782" s="422"/>
      <c r="G782" s="422"/>
      <c r="H782" s="422"/>
      <c r="I782" s="422"/>
      <c r="J782" s="422"/>
      <c r="K782" s="422"/>
      <c r="L782" s="422"/>
      <c r="M782" s="422"/>
      <c r="N782" s="422"/>
      <c r="O782" s="422"/>
      <c r="P782" s="422"/>
      <c r="Q782" s="422"/>
      <c r="R782" s="422"/>
      <c r="S782" s="422"/>
      <c r="T782" s="422"/>
      <c r="U782" s="422"/>
      <c r="V782" s="422"/>
      <c r="W782" s="422"/>
      <c r="X782" s="422"/>
      <c r="Y782" s="422"/>
      <c r="Z782" s="422"/>
    </row>
    <row r="783" spans="1:26" ht="15" thickBot="1">
      <c r="A783" s="422"/>
      <c r="B783" s="422"/>
      <c r="C783" s="422"/>
      <c r="D783" s="422"/>
      <c r="E783" s="422"/>
      <c r="F783" s="422"/>
      <c r="G783" s="422"/>
      <c r="H783" s="422"/>
      <c r="I783" s="422"/>
      <c r="J783" s="422"/>
      <c r="K783" s="422"/>
      <c r="L783" s="422"/>
      <c r="M783" s="422"/>
      <c r="N783" s="422"/>
      <c r="O783" s="422"/>
      <c r="P783" s="422"/>
      <c r="Q783" s="422"/>
      <c r="R783" s="422"/>
      <c r="S783" s="422"/>
      <c r="T783" s="422"/>
      <c r="U783" s="422"/>
      <c r="V783" s="422"/>
      <c r="W783" s="422"/>
      <c r="X783" s="422"/>
      <c r="Y783" s="422"/>
      <c r="Z783" s="422"/>
    </row>
    <row r="784" spans="1:26" ht="15" thickBot="1">
      <c r="A784" s="422"/>
      <c r="B784" s="422"/>
      <c r="C784" s="422"/>
      <c r="D784" s="422"/>
      <c r="E784" s="422"/>
      <c r="F784" s="422"/>
      <c r="G784" s="422"/>
      <c r="H784" s="422"/>
      <c r="I784" s="422"/>
      <c r="J784" s="422"/>
      <c r="K784" s="422"/>
      <c r="L784" s="422"/>
      <c r="M784" s="422"/>
      <c r="N784" s="422"/>
      <c r="O784" s="422"/>
      <c r="P784" s="422"/>
      <c r="Q784" s="422"/>
      <c r="R784" s="422"/>
      <c r="S784" s="422"/>
      <c r="T784" s="422"/>
      <c r="U784" s="422"/>
      <c r="V784" s="422"/>
      <c r="W784" s="422"/>
      <c r="X784" s="422"/>
      <c r="Y784" s="422"/>
      <c r="Z784" s="422"/>
    </row>
    <row r="785" spans="1:26" ht="15" thickBot="1">
      <c r="A785" s="422"/>
      <c r="B785" s="422"/>
      <c r="C785" s="422"/>
      <c r="D785" s="422"/>
      <c r="E785" s="422"/>
      <c r="F785" s="422"/>
      <c r="G785" s="422"/>
      <c r="H785" s="422"/>
      <c r="I785" s="422"/>
      <c r="J785" s="422"/>
      <c r="K785" s="422"/>
      <c r="L785" s="422"/>
      <c r="M785" s="422"/>
      <c r="N785" s="422"/>
      <c r="O785" s="422"/>
      <c r="P785" s="422"/>
      <c r="Q785" s="422"/>
      <c r="R785" s="422"/>
      <c r="S785" s="422"/>
      <c r="T785" s="422"/>
      <c r="U785" s="422"/>
      <c r="V785" s="422"/>
      <c r="W785" s="422"/>
      <c r="X785" s="422"/>
      <c r="Y785" s="422"/>
      <c r="Z785" s="422"/>
    </row>
    <row r="786" spans="1:26" ht="15" thickBot="1">
      <c r="A786" s="422"/>
      <c r="B786" s="422"/>
      <c r="C786" s="422"/>
      <c r="D786" s="422"/>
      <c r="E786" s="422"/>
      <c r="F786" s="422"/>
      <c r="G786" s="422"/>
      <c r="H786" s="422"/>
      <c r="I786" s="422"/>
      <c r="J786" s="422"/>
      <c r="K786" s="422"/>
      <c r="L786" s="422"/>
      <c r="M786" s="422"/>
      <c r="N786" s="422"/>
      <c r="O786" s="422"/>
      <c r="P786" s="422"/>
      <c r="Q786" s="422"/>
      <c r="R786" s="422"/>
      <c r="S786" s="422"/>
      <c r="T786" s="422"/>
      <c r="U786" s="422"/>
      <c r="V786" s="422"/>
      <c r="W786" s="422"/>
      <c r="X786" s="422"/>
      <c r="Y786" s="422"/>
      <c r="Z786" s="422"/>
    </row>
    <row r="787" spans="1:26" ht="15" thickBot="1">
      <c r="A787" s="422"/>
      <c r="B787" s="422"/>
      <c r="C787" s="422"/>
      <c r="D787" s="422"/>
      <c r="E787" s="422"/>
      <c r="F787" s="422"/>
      <c r="G787" s="422"/>
      <c r="H787" s="422"/>
      <c r="I787" s="422"/>
      <c r="J787" s="422"/>
      <c r="K787" s="422"/>
      <c r="L787" s="422"/>
      <c r="M787" s="422"/>
      <c r="N787" s="422"/>
      <c r="O787" s="422"/>
      <c r="P787" s="422"/>
      <c r="Q787" s="422"/>
      <c r="R787" s="422"/>
      <c r="S787" s="422"/>
      <c r="T787" s="422"/>
      <c r="U787" s="422"/>
      <c r="V787" s="422"/>
      <c r="W787" s="422"/>
      <c r="X787" s="422"/>
      <c r="Y787" s="422"/>
      <c r="Z787" s="422"/>
    </row>
    <row r="788" spans="1:26" ht="15" thickBot="1">
      <c r="A788" s="422"/>
      <c r="B788" s="422"/>
      <c r="C788" s="422"/>
      <c r="D788" s="422"/>
      <c r="E788" s="422"/>
      <c r="F788" s="422"/>
      <c r="G788" s="422"/>
      <c r="H788" s="422"/>
      <c r="I788" s="422"/>
      <c r="J788" s="422"/>
      <c r="K788" s="422"/>
      <c r="L788" s="422"/>
      <c r="M788" s="422"/>
      <c r="N788" s="422"/>
      <c r="O788" s="422"/>
      <c r="P788" s="422"/>
      <c r="Q788" s="422"/>
      <c r="R788" s="422"/>
      <c r="S788" s="422"/>
      <c r="T788" s="422"/>
      <c r="U788" s="422"/>
      <c r="V788" s="422"/>
      <c r="W788" s="422"/>
      <c r="X788" s="422"/>
      <c r="Y788" s="422"/>
      <c r="Z788" s="422"/>
    </row>
    <row r="789" spans="1:26" ht="15" thickBot="1">
      <c r="A789" s="422"/>
      <c r="B789" s="422"/>
      <c r="C789" s="422"/>
      <c r="D789" s="422"/>
      <c r="E789" s="422"/>
      <c r="F789" s="422"/>
      <c r="G789" s="422"/>
      <c r="H789" s="422"/>
      <c r="I789" s="422"/>
      <c r="J789" s="422"/>
      <c r="K789" s="422"/>
      <c r="L789" s="422"/>
      <c r="M789" s="422"/>
      <c r="N789" s="422"/>
      <c r="O789" s="422"/>
      <c r="P789" s="422"/>
      <c r="Q789" s="422"/>
      <c r="R789" s="422"/>
      <c r="S789" s="422"/>
      <c r="T789" s="422"/>
      <c r="U789" s="422"/>
      <c r="V789" s="422"/>
      <c r="W789" s="422"/>
      <c r="X789" s="422"/>
      <c r="Y789" s="422"/>
      <c r="Z789" s="422"/>
    </row>
    <row r="790" spans="1:26" ht="15" thickBot="1">
      <c r="A790" s="422"/>
      <c r="B790" s="422"/>
      <c r="C790" s="422"/>
      <c r="D790" s="422"/>
      <c r="E790" s="422"/>
      <c r="F790" s="422"/>
      <c r="G790" s="422"/>
      <c r="H790" s="422"/>
      <c r="I790" s="422"/>
      <c r="J790" s="422"/>
      <c r="K790" s="422"/>
      <c r="L790" s="422"/>
      <c r="M790" s="422"/>
      <c r="N790" s="422"/>
      <c r="O790" s="422"/>
      <c r="P790" s="422"/>
      <c r="Q790" s="422"/>
      <c r="R790" s="422"/>
      <c r="S790" s="422"/>
      <c r="T790" s="422"/>
      <c r="U790" s="422"/>
      <c r="V790" s="422"/>
      <c r="W790" s="422"/>
      <c r="X790" s="422"/>
      <c r="Y790" s="422"/>
      <c r="Z790" s="422"/>
    </row>
    <row r="791" spans="1:26" ht="15" thickBot="1">
      <c r="A791" s="422"/>
      <c r="B791" s="422"/>
      <c r="C791" s="422"/>
      <c r="D791" s="422"/>
      <c r="E791" s="422"/>
      <c r="F791" s="422"/>
      <c r="G791" s="422"/>
      <c r="H791" s="422"/>
      <c r="I791" s="422"/>
      <c r="J791" s="422"/>
      <c r="K791" s="422"/>
      <c r="L791" s="422"/>
      <c r="M791" s="422"/>
      <c r="N791" s="422"/>
      <c r="O791" s="422"/>
      <c r="P791" s="422"/>
      <c r="Q791" s="422"/>
      <c r="R791" s="422"/>
      <c r="S791" s="422"/>
      <c r="T791" s="422"/>
      <c r="U791" s="422"/>
      <c r="V791" s="422"/>
      <c r="W791" s="422"/>
      <c r="X791" s="422"/>
      <c r="Y791" s="422"/>
      <c r="Z791" s="422"/>
    </row>
    <row r="792" spans="1:26" ht="15" thickBot="1">
      <c r="A792" s="422"/>
      <c r="B792" s="422"/>
      <c r="C792" s="422"/>
      <c r="D792" s="422"/>
      <c r="E792" s="422"/>
      <c r="F792" s="422"/>
      <c r="G792" s="422"/>
      <c r="H792" s="422"/>
      <c r="I792" s="422"/>
      <c r="J792" s="422"/>
      <c r="K792" s="422"/>
      <c r="L792" s="422"/>
      <c r="M792" s="422"/>
      <c r="N792" s="422"/>
      <c r="O792" s="422"/>
      <c r="P792" s="422"/>
      <c r="Q792" s="422"/>
      <c r="R792" s="422"/>
      <c r="S792" s="422"/>
      <c r="T792" s="422"/>
      <c r="U792" s="422"/>
      <c r="V792" s="422"/>
      <c r="W792" s="422"/>
      <c r="X792" s="422"/>
      <c r="Y792" s="422"/>
      <c r="Z792" s="422"/>
    </row>
    <row r="793" spans="1:26" ht="15" thickBot="1">
      <c r="A793" s="422"/>
      <c r="B793" s="422"/>
      <c r="C793" s="422"/>
      <c r="D793" s="422"/>
      <c r="E793" s="422"/>
      <c r="F793" s="422"/>
      <c r="G793" s="422"/>
      <c r="H793" s="422"/>
      <c r="I793" s="422"/>
      <c r="J793" s="422"/>
      <c r="K793" s="422"/>
      <c r="L793" s="422"/>
      <c r="M793" s="422"/>
      <c r="N793" s="422"/>
      <c r="O793" s="422"/>
      <c r="P793" s="422"/>
      <c r="Q793" s="422"/>
      <c r="R793" s="422"/>
      <c r="S793" s="422"/>
      <c r="T793" s="422"/>
      <c r="U793" s="422"/>
      <c r="V793" s="422"/>
      <c r="W793" s="422"/>
      <c r="X793" s="422"/>
      <c r="Y793" s="422"/>
      <c r="Z793" s="422"/>
    </row>
    <row r="794" spans="1:26" ht="15" thickBot="1">
      <c r="A794" s="422"/>
      <c r="B794" s="422"/>
      <c r="C794" s="422"/>
      <c r="D794" s="422"/>
      <c r="E794" s="422"/>
      <c r="F794" s="422"/>
      <c r="G794" s="422"/>
      <c r="H794" s="422"/>
      <c r="I794" s="422"/>
      <c r="J794" s="422"/>
      <c r="K794" s="422"/>
      <c r="L794" s="422"/>
      <c r="M794" s="422"/>
      <c r="N794" s="422"/>
      <c r="O794" s="422"/>
      <c r="P794" s="422"/>
      <c r="Q794" s="422"/>
      <c r="R794" s="422"/>
      <c r="S794" s="422"/>
      <c r="T794" s="422"/>
      <c r="U794" s="422"/>
      <c r="V794" s="422"/>
      <c r="W794" s="422"/>
      <c r="X794" s="422"/>
      <c r="Y794" s="422"/>
      <c r="Z794" s="422"/>
    </row>
    <row r="795" spans="1:26" ht="15" thickBot="1">
      <c r="A795" s="422"/>
      <c r="B795" s="422"/>
      <c r="C795" s="422"/>
      <c r="D795" s="422"/>
      <c r="E795" s="422"/>
      <c r="F795" s="422"/>
      <c r="G795" s="422"/>
      <c r="H795" s="422"/>
      <c r="I795" s="422"/>
      <c r="J795" s="422"/>
      <c r="K795" s="422"/>
      <c r="L795" s="422"/>
      <c r="M795" s="422"/>
      <c r="N795" s="422"/>
      <c r="O795" s="422"/>
      <c r="P795" s="422"/>
      <c r="Q795" s="422"/>
      <c r="R795" s="422"/>
      <c r="S795" s="422"/>
      <c r="T795" s="422"/>
      <c r="U795" s="422"/>
      <c r="V795" s="422"/>
      <c r="W795" s="422"/>
      <c r="X795" s="422"/>
      <c r="Y795" s="422"/>
      <c r="Z795" s="422"/>
    </row>
    <row r="796" spans="1:26" ht="15" thickBot="1">
      <c r="A796" s="422"/>
      <c r="B796" s="422"/>
      <c r="C796" s="422"/>
      <c r="D796" s="422"/>
      <c r="E796" s="422"/>
      <c r="F796" s="422"/>
      <c r="G796" s="422"/>
      <c r="H796" s="422"/>
      <c r="I796" s="422"/>
      <c r="J796" s="422"/>
      <c r="K796" s="422"/>
      <c r="L796" s="422"/>
      <c r="M796" s="422"/>
      <c r="N796" s="422"/>
      <c r="O796" s="422"/>
      <c r="P796" s="422"/>
      <c r="Q796" s="422"/>
      <c r="R796" s="422"/>
      <c r="S796" s="422"/>
      <c r="T796" s="422"/>
      <c r="U796" s="422"/>
      <c r="V796" s="422"/>
      <c r="W796" s="422"/>
      <c r="X796" s="422"/>
      <c r="Y796" s="422"/>
      <c r="Z796" s="422"/>
    </row>
    <row r="797" spans="1:26" ht="15" thickBot="1">
      <c r="A797" s="422"/>
      <c r="B797" s="422"/>
      <c r="C797" s="422"/>
      <c r="D797" s="422"/>
      <c r="E797" s="422"/>
      <c r="F797" s="422"/>
      <c r="G797" s="422"/>
      <c r="H797" s="422"/>
      <c r="I797" s="422"/>
      <c r="J797" s="422"/>
      <c r="K797" s="422"/>
      <c r="L797" s="422"/>
      <c r="M797" s="422"/>
      <c r="N797" s="422"/>
      <c r="O797" s="422"/>
      <c r="P797" s="422"/>
      <c r="Q797" s="422"/>
      <c r="R797" s="422"/>
      <c r="S797" s="422"/>
      <c r="T797" s="422"/>
      <c r="U797" s="422"/>
      <c r="V797" s="422"/>
      <c r="W797" s="422"/>
      <c r="X797" s="422"/>
      <c r="Y797" s="422"/>
      <c r="Z797" s="422"/>
    </row>
    <row r="798" spans="1:26" ht="15" thickBot="1">
      <c r="A798" s="422"/>
      <c r="B798" s="422"/>
      <c r="C798" s="422"/>
      <c r="D798" s="422"/>
      <c r="E798" s="422"/>
      <c r="F798" s="422"/>
      <c r="G798" s="422"/>
      <c r="H798" s="422"/>
      <c r="I798" s="422"/>
      <c r="J798" s="422"/>
      <c r="K798" s="422"/>
      <c r="L798" s="422"/>
      <c r="M798" s="422"/>
      <c r="N798" s="422"/>
      <c r="O798" s="422"/>
      <c r="P798" s="422"/>
      <c r="Q798" s="422"/>
      <c r="R798" s="422"/>
      <c r="S798" s="422"/>
      <c r="T798" s="422"/>
      <c r="U798" s="422"/>
      <c r="V798" s="422"/>
      <c r="W798" s="422"/>
      <c r="X798" s="422"/>
      <c r="Y798" s="422"/>
      <c r="Z798" s="422"/>
    </row>
    <row r="799" spans="1:26" ht="15" thickBot="1">
      <c r="A799" s="422"/>
      <c r="B799" s="422"/>
      <c r="C799" s="422"/>
      <c r="D799" s="422"/>
      <c r="E799" s="422"/>
      <c r="F799" s="422"/>
      <c r="G799" s="422"/>
      <c r="H799" s="422"/>
      <c r="I799" s="422"/>
      <c r="J799" s="422"/>
      <c r="K799" s="422"/>
      <c r="L799" s="422"/>
      <c r="M799" s="422"/>
      <c r="N799" s="422"/>
      <c r="O799" s="422"/>
      <c r="P799" s="422"/>
      <c r="Q799" s="422"/>
      <c r="R799" s="422"/>
      <c r="S799" s="422"/>
      <c r="T799" s="422"/>
      <c r="U799" s="422"/>
      <c r="V799" s="422"/>
      <c r="W799" s="422"/>
      <c r="X799" s="422"/>
      <c r="Y799" s="422"/>
      <c r="Z799" s="422"/>
    </row>
    <row r="800" spans="1:26" ht="15" thickBot="1">
      <c r="A800" s="422"/>
      <c r="B800" s="422"/>
      <c r="C800" s="422"/>
      <c r="D800" s="422"/>
      <c r="E800" s="422"/>
      <c r="F800" s="422"/>
      <c r="G800" s="422"/>
      <c r="H800" s="422"/>
      <c r="I800" s="422"/>
      <c r="J800" s="422"/>
      <c r="K800" s="422"/>
      <c r="L800" s="422"/>
      <c r="M800" s="422"/>
      <c r="N800" s="422"/>
      <c r="O800" s="422"/>
      <c r="P800" s="422"/>
      <c r="Q800" s="422"/>
      <c r="R800" s="422"/>
      <c r="S800" s="422"/>
      <c r="T800" s="422"/>
      <c r="U800" s="422"/>
      <c r="V800" s="422"/>
      <c r="W800" s="422"/>
      <c r="X800" s="422"/>
      <c r="Y800" s="422"/>
      <c r="Z800" s="422"/>
    </row>
    <row r="801" spans="1:26" ht="15" thickBot="1">
      <c r="A801" s="422"/>
      <c r="B801" s="422"/>
      <c r="C801" s="422"/>
      <c r="D801" s="422"/>
      <c r="E801" s="422"/>
      <c r="F801" s="422"/>
      <c r="G801" s="422"/>
      <c r="H801" s="422"/>
      <c r="I801" s="422"/>
      <c r="J801" s="422"/>
      <c r="K801" s="422"/>
      <c r="L801" s="422"/>
      <c r="M801" s="422"/>
      <c r="N801" s="422"/>
      <c r="O801" s="422"/>
      <c r="P801" s="422"/>
      <c r="Q801" s="422"/>
      <c r="R801" s="422"/>
      <c r="S801" s="422"/>
      <c r="T801" s="422"/>
      <c r="U801" s="422"/>
      <c r="V801" s="422"/>
      <c r="W801" s="422"/>
      <c r="X801" s="422"/>
      <c r="Y801" s="422"/>
      <c r="Z801" s="422"/>
    </row>
    <row r="802" spans="1:26" ht="15" thickBot="1">
      <c r="A802" s="422"/>
      <c r="B802" s="422"/>
      <c r="C802" s="422"/>
      <c r="D802" s="422"/>
      <c r="E802" s="422"/>
      <c r="F802" s="422"/>
      <c r="G802" s="422"/>
      <c r="H802" s="422"/>
      <c r="I802" s="422"/>
      <c r="J802" s="422"/>
      <c r="K802" s="422"/>
      <c r="L802" s="422"/>
      <c r="M802" s="422"/>
      <c r="N802" s="422"/>
      <c r="O802" s="422"/>
      <c r="P802" s="422"/>
      <c r="Q802" s="422"/>
      <c r="R802" s="422"/>
      <c r="S802" s="422"/>
      <c r="T802" s="422"/>
      <c r="U802" s="422"/>
      <c r="V802" s="422"/>
      <c r="W802" s="422"/>
      <c r="X802" s="422"/>
      <c r="Y802" s="422"/>
      <c r="Z802" s="422"/>
    </row>
    <row r="803" spans="1:26" ht="15" thickBot="1">
      <c r="A803" s="422"/>
      <c r="B803" s="422"/>
      <c r="C803" s="422"/>
      <c r="D803" s="422"/>
      <c r="E803" s="422"/>
      <c r="F803" s="422"/>
      <c r="G803" s="422"/>
      <c r="H803" s="422"/>
      <c r="I803" s="422"/>
      <c r="J803" s="422"/>
      <c r="K803" s="422"/>
      <c r="L803" s="422"/>
      <c r="M803" s="422"/>
      <c r="N803" s="422"/>
      <c r="O803" s="422"/>
      <c r="P803" s="422"/>
      <c r="Q803" s="422"/>
      <c r="R803" s="422"/>
      <c r="S803" s="422"/>
      <c r="T803" s="422"/>
      <c r="U803" s="422"/>
      <c r="V803" s="422"/>
      <c r="W803" s="422"/>
      <c r="X803" s="422"/>
      <c r="Y803" s="422"/>
      <c r="Z803" s="422"/>
    </row>
    <row r="804" spans="1:26" ht="15" thickBot="1">
      <c r="A804" s="422"/>
      <c r="B804" s="422"/>
      <c r="C804" s="422"/>
      <c r="D804" s="422"/>
      <c r="E804" s="422"/>
      <c r="F804" s="422"/>
      <c r="G804" s="422"/>
      <c r="H804" s="422"/>
      <c r="I804" s="422"/>
      <c r="J804" s="422"/>
      <c r="K804" s="422"/>
      <c r="L804" s="422"/>
      <c r="M804" s="422"/>
      <c r="N804" s="422"/>
      <c r="O804" s="422"/>
      <c r="P804" s="422"/>
      <c r="Q804" s="422"/>
      <c r="R804" s="422"/>
      <c r="S804" s="422"/>
      <c r="T804" s="422"/>
      <c r="U804" s="422"/>
      <c r="V804" s="422"/>
      <c r="W804" s="422"/>
      <c r="X804" s="422"/>
      <c r="Y804" s="422"/>
      <c r="Z804" s="422"/>
    </row>
    <row r="805" spans="1:26" ht="15" thickBot="1">
      <c r="A805" s="422"/>
      <c r="B805" s="422"/>
      <c r="C805" s="422"/>
      <c r="D805" s="422"/>
      <c r="E805" s="422"/>
      <c r="F805" s="422"/>
      <c r="G805" s="422"/>
      <c r="H805" s="422"/>
      <c r="I805" s="422"/>
      <c r="J805" s="422"/>
      <c r="K805" s="422"/>
      <c r="L805" s="422"/>
      <c r="M805" s="422"/>
      <c r="N805" s="422"/>
      <c r="O805" s="422"/>
      <c r="P805" s="422"/>
      <c r="Q805" s="422"/>
      <c r="R805" s="422"/>
      <c r="S805" s="422"/>
      <c r="T805" s="422"/>
      <c r="U805" s="422"/>
      <c r="V805" s="422"/>
      <c r="W805" s="422"/>
      <c r="X805" s="422"/>
      <c r="Y805" s="422"/>
      <c r="Z805" s="422"/>
    </row>
    <row r="806" spans="1:26" ht="15" thickBot="1">
      <c r="A806" s="422"/>
      <c r="B806" s="422"/>
      <c r="C806" s="422"/>
      <c r="D806" s="422"/>
      <c r="E806" s="422"/>
      <c r="F806" s="422"/>
      <c r="G806" s="422"/>
      <c r="H806" s="422"/>
      <c r="I806" s="422"/>
      <c r="J806" s="422"/>
      <c r="K806" s="422"/>
      <c r="L806" s="422"/>
      <c r="M806" s="422"/>
      <c r="N806" s="422"/>
      <c r="O806" s="422"/>
      <c r="P806" s="422"/>
      <c r="Q806" s="422"/>
      <c r="R806" s="422"/>
      <c r="S806" s="422"/>
      <c r="T806" s="422"/>
      <c r="U806" s="422"/>
      <c r="V806" s="422"/>
      <c r="W806" s="422"/>
      <c r="X806" s="422"/>
      <c r="Y806" s="422"/>
      <c r="Z806" s="422"/>
    </row>
    <row r="807" spans="1:26" ht="15" thickBot="1">
      <c r="A807" s="422"/>
      <c r="B807" s="422"/>
      <c r="C807" s="422"/>
      <c r="D807" s="422"/>
      <c r="E807" s="422"/>
      <c r="F807" s="422"/>
      <c r="G807" s="422"/>
      <c r="H807" s="422"/>
      <c r="I807" s="422"/>
      <c r="J807" s="422"/>
      <c r="K807" s="422"/>
      <c r="L807" s="422"/>
      <c r="M807" s="422"/>
      <c r="N807" s="422"/>
      <c r="O807" s="422"/>
      <c r="P807" s="422"/>
      <c r="Q807" s="422"/>
      <c r="R807" s="422"/>
      <c r="S807" s="422"/>
      <c r="T807" s="422"/>
      <c r="U807" s="422"/>
      <c r="V807" s="422"/>
      <c r="W807" s="422"/>
      <c r="X807" s="422"/>
      <c r="Y807" s="422"/>
      <c r="Z807" s="422"/>
    </row>
    <row r="808" spans="1:26" ht="15" thickBot="1">
      <c r="A808" s="422"/>
      <c r="B808" s="422"/>
      <c r="C808" s="422"/>
      <c r="D808" s="422"/>
      <c r="E808" s="422"/>
      <c r="F808" s="422"/>
      <c r="G808" s="422"/>
      <c r="H808" s="422"/>
      <c r="I808" s="422"/>
      <c r="J808" s="422"/>
      <c r="K808" s="422"/>
      <c r="L808" s="422"/>
      <c r="M808" s="422"/>
      <c r="N808" s="422"/>
      <c r="O808" s="422"/>
      <c r="P808" s="422"/>
      <c r="Q808" s="422"/>
      <c r="R808" s="422"/>
      <c r="S808" s="422"/>
      <c r="T808" s="422"/>
      <c r="U808" s="422"/>
      <c r="V808" s="422"/>
      <c r="W808" s="422"/>
      <c r="X808" s="422"/>
      <c r="Y808" s="422"/>
      <c r="Z808" s="422"/>
    </row>
    <row r="809" spans="1:26" ht="15" thickBot="1">
      <c r="A809" s="422"/>
      <c r="B809" s="422"/>
      <c r="C809" s="422"/>
      <c r="D809" s="422"/>
      <c r="E809" s="422"/>
      <c r="F809" s="422"/>
      <c r="G809" s="422"/>
      <c r="H809" s="422"/>
      <c r="I809" s="422"/>
      <c r="J809" s="422"/>
      <c r="K809" s="422"/>
      <c r="L809" s="422"/>
      <c r="M809" s="422"/>
      <c r="N809" s="422"/>
      <c r="O809" s="422"/>
      <c r="P809" s="422"/>
      <c r="Q809" s="422"/>
      <c r="R809" s="422"/>
      <c r="S809" s="422"/>
      <c r="T809" s="422"/>
      <c r="U809" s="422"/>
      <c r="V809" s="422"/>
      <c r="W809" s="422"/>
      <c r="X809" s="422"/>
      <c r="Y809" s="422"/>
      <c r="Z809" s="422"/>
    </row>
    <row r="810" spans="1:26" ht="15" thickBot="1">
      <c r="A810" s="422"/>
      <c r="B810" s="422"/>
      <c r="C810" s="422"/>
      <c r="D810" s="422"/>
      <c r="E810" s="422"/>
      <c r="F810" s="422"/>
      <c r="G810" s="422"/>
      <c r="H810" s="422"/>
      <c r="I810" s="422"/>
      <c r="J810" s="422"/>
      <c r="K810" s="422"/>
      <c r="L810" s="422"/>
      <c r="M810" s="422"/>
      <c r="N810" s="422"/>
      <c r="O810" s="422"/>
      <c r="P810" s="422"/>
      <c r="Q810" s="422"/>
      <c r="R810" s="422"/>
      <c r="S810" s="422"/>
      <c r="T810" s="422"/>
      <c r="U810" s="422"/>
      <c r="V810" s="422"/>
      <c r="W810" s="422"/>
      <c r="X810" s="422"/>
      <c r="Y810" s="422"/>
      <c r="Z810" s="422"/>
    </row>
    <row r="811" spans="1:26" ht="15" thickBot="1">
      <c r="A811" s="422"/>
      <c r="B811" s="422"/>
      <c r="C811" s="422"/>
      <c r="D811" s="422"/>
      <c r="E811" s="422"/>
      <c r="F811" s="422"/>
      <c r="G811" s="422"/>
      <c r="H811" s="422"/>
      <c r="I811" s="422"/>
      <c r="J811" s="422"/>
      <c r="K811" s="422"/>
      <c r="L811" s="422"/>
      <c r="M811" s="422"/>
      <c r="N811" s="422"/>
      <c r="O811" s="422"/>
      <c r="P811" s="422"/>
      <c r="Q811" s="422"/>
      <c r="R811" s="422"/>
      <c r="S811" s="422"/>
      <c r="T811" s="422"/>
      <c r="U811" s="422"/>
      <c r="V811" s="422"/>
      <c r="W811" s="422"/>
      <c r="X811" s="422"/>
      <c r="Y811" s="422"/>
      <c r="Z811" s="422"/>
    </row>
    <row r="812" spans="1:26" ht="15" thickBot="1">
      <c r="A812" s="422"/>
      <c r="B812" s="422"/>
      <c r="C812" s="422"/>
      <c r="D812" s="422"/>
      <c r="E812" s="422"/>
      <c r="F812" s="422"/>
      <c r="G812" s="422"/>
      <c r="H812" s="422"/>
      <c r="I812" s="422"/>
      <c r="J812" s="422"/>
      <c r="K812" s="422"/>
      <c r="L812" s="422"/>
      <c r="M812" s="422"/>
      <c r="N812" s="422"/>
      <c r="O812" s="422"/>
      <c r="P812" s="422"/>
      <c r="Q812" s="422"/>
      <c r="R812" s="422"/>
      <c r="S812" s="422"/>
      <c r="T812" s="422"/>
      <c r="U812" s="422"/>
      <c r="V812" s="422"/>
      <c r="W812" s="422"/>
      <c r="X812" s="422"/>
      <c r="Y812" s="422"/>
      <c r="Z812" s="422"/>
    </row>
    <row r="813" spans="1:26" ht="15" thickBot="1">
      <c r="A813" s="422"/>
      <c r="B813" s="422"/>
      <c r="C813" s="422"/>
      <c r="D813" s="422"/>
      <c r="E813" s="422"/>
      <c r="F813" s="422"/>
      <c r="G813" s="422"/>
      <c r="H813" s="422"/>
      <c r="I813" s="422"/>
      <c r="J813" s="422"/>
      <c r="K813" s="422"/>
      <c r="L813" s="422"/>
      <c r="M813" s="422"/>
      <c r="N813" s="422"/>
      <c r="O813" s="422"/>
      <c r="P813" s="422"/>
      <c r="Q813" s="422"/>
      <c r="R813" s="422"/>
      <c r="S813" s="422"/>
      <c r="T813" s="422"/>
      <c r="U813" s="422"/>
      <c r="V813" s="422"/>
      <c r="W813" s="422"/>
      <c r="X813" s="422"/>
      <c r="Y813" s="422"/>
      <c r="Z813" s="422"/>
    </row>
    <row r="814" spans="1:26" ht="15" thickBot="1">
      <c r="A814" s="422"/>
      <c r="B814" s="422"/>
      <c r="C814" s="422"/>
      <c r="D814" s="422"/>
      <c r="E814" s="422"/>
      <c r="F814" s="422"/>
      <c r="G814" s="422"/>
      <c r="H814" s="422"/>
      <c r="I814" s="422"/>
      <c r="J814" s="422"/>
      <c r="K814" s="422"/>
      <c r="L814" s="422"/>
      <c r="M814" s="422"/>
      <c r="N814" s="422"/>
      <c r="O814" s="422"/>
      <c r="P814" s="422"/>
      <c r="Q814" s="422"/>
      <c r="R814" s="422"/>
      <c r="S814" s="422"/>
      <c r="T814" s="422"/>
      <c r="U814" s="422"/>
      <c r="V814" s="422"/>
      <c r="W814" s="422"/>
      <c r="X814" s="422"/>
      <c r="Y814" s="422"/>
      <c r="Z814" s="422"/>
    </row>
    <row r="815" spans="1:26" ht="15" thickBot="1">
      <c r="A815" s="422"/>
      <c r="B815" s="422"/>
      <c r="C815" s="422"/>
      <c r="D815" s="422"/>
      <c r="E815" s="422"/>
      <c r="F815" s="422"/>
      <c r="G815" s="422"/>
      <c r="H815" s="422"/>
      <c r="I815" s="422"/>
      <c r="J815" s="422"/>
      <c r="K815" s="422"/>
      <c r="L815" s="422"/>
      <c r="M815" s="422"/>
      <c r="N815" s="422"/>
      <c r="O815" s="422"/>
      <c r="P815" s="422"/>
      <c r="Q815" s="422"/>
      <c r="R815" s="422"/>
      <c r="S815" s="422"/>
      <c r="T815" s="422"/>
      <c r="U815" s="422"/>
      <c r="V815" s="422"/>
      <c r="W815" s="422"/>
      <c r="X815" s="422"/>
      <c r="Y815" s="422"/>
      <c r="Z815" s="422"/>
    </row>
    <row r="816" spans="1:26" ht="15" thickBot="1">
      <c r="A816" s="422"/>
      <c r="B816" s="422"/>
      <c r="C816" s="422"/>
      <c r="D816" s="422"/>
      <c r="E816" s="422"/>
      <c r="F816" s="422"/>
      <c r="G816" s="422"/>
      <c r="H816" s="422"/>
      <c r="I816" s="422"/>
      <c r="J816" s="422"/>
      <c r="K816" s="422"/>
      <c r="L816" s="422"/>
      <c r="M816" s="422"/>
      <c r="N816" s="422"/>
      <c r="O816" s="422"/>
      <c r="P816" s="422"/>
      <c r="Q816" s="422"/>
      <c r="R816" s="422"/>
      <c r="S816" s="422"/>
      <c r="T816" s="422"/>
      <c r="U816" s="422"/>
      <c r="V816" s="422"/>
      <c r="W816" s="422"/>
      <c r="X816" s="422"/>
      <c r="Y816" s="422"/>
      <c r="Z816" s="422"/>
    </row>
    <row r="817" spans="1:26" ht="15" thickBot="1">
      <c r="A817" s="422"/>
      <c r="B817" s="422"/>
      <c r="C817" s="422"/>
      <c r="D817" s="422"/>
      <c r="E817" s="422"/>
      <c r="F817" s="422"/>
      <c r="G817" s="422"/>
      <c r="H817" s="422"/>
      <c r="I817" s="422"/>
      <c r="J817" s="422"/>
      <c r="K817" s="422"/>
      <c r="L817" s="422"/>
      <c r="M817" s="422"/>
      <c r="N817" s="422"/>
      <c r="O817" s="422"/>
      <c r="P817" s="422"/>
      <c r="Q817" s="422"/>
      <c r="R817" s="422"/>
      <c r="S817" s="422"/>
      <c r="T817" s="422"/>
      <c r="U817" s="422"/>
      <c r="V817" s="422"/>
      <c r="W817" s="422"/>
      <c r="X817" s="422"/>
      <c r="Y817" s="422"/>
      <c r="Z817" s="422"/>
    </row>
    <row r="818" spans="1:26" ht="15" thickBot="1">
      <c r="A818" s="422"/>
      <c r="B818" s="422"/>
      <c r="C818" s="422"/>
      <c r="D818" s="422"/>
      <c r="E818" s="422"/>
      <c r="F818" s="422"/>
      <c r="G818" s="422"/>
      <c r="H818" s="422"/>
      <c r="I818" s="422"/>
      <c r="J818" s="422"/>
      <c r="K818" s="422"/>
      <c r="L818" s="422"/>
      <c r="M818" s="422"/>
      <c r="N818" s="422"/>
      <c r="O818" s="422"/>
      <c r="P818" s="422"/>
      <c r="Q818" s="422"/>
      <c r="R818" s="422"/>
      <c r="S818" s="422"/>
      <c r="T818" s="422"/>
      <c r="U818" s="422"/>
      <c r="V818" s="422"/>
      <c r="W818" s="422"/>
      <c r="X818" s="422"/>
      <c r="Y818" s="422"/>
      <c r="Z818" s="422"/>
    </row>
    <row r="819" spans="1:26" ht="15" thickBot="1">
      <c r="A819" s="422"/>
      <c r="B819" s="422"/>
      <c r="C819" s="422"/>
      <c r="D819" s="422"/>
      <c r="E819" s="422"/>
      <c r="F819" s="422"/>
      <c r="G819" s="422"/>
      <c r="H819" s="422"/>
      <c r="I819" s="422"/>
      <c r="J819" s="422"/>
      <c r="K819" s="422"/>
      <c r="L819" s="422"/>
      <c r="M819" s="422"/>
      <c r="N819" s="422"/>
      <c r="O819" s="422"/>
      <c r="P819" s="422"/>
      <c r="Q819" s="422"/>
      <c r="R819" s="422"/>
      <c r="S819" s="422"/>
      <c r="T819" s="422"/>
      <c r="U819" s="422"/>
      <c r="V819" s="422"/>
      <c r="W819" s="422"/>
      <c r="X819" s="422"/>
      <c r="Y819" s="422"/>
      <c r="Z819" s="422"/>
    </row>
    <row r="820" spans="1:26" ht="15" thickBot="1">
      <c r="A820" s="422"/>
      <c r="B820" s="422"/>
      <c r="C820" s="422"/>
      <c r="D820" s="422"/>
      <c r="E820" s="422"/>
      <c r="F820" s="422"/>
      <c r="G820" s="422"/>
      <c r="H820" s="422"/>
      <c r="I820" s="422"/>
      <c r="J820" s="422"/>
      <c r="K820" s="422"/>
      <c r="L820" s="422"/>
      <c r="M820" s="422"/>
      <c r="N820" s="422"/>
      <c r="O820" s="422"/>
      <c r="P820" s="422"/>
      <c r="Q820" s="422"/>
      <c r="R820" s="422"/>
      <c r="S820" s="422"/>
      <c r="T820" s="422"/>
      <c r="U820" s="422"/>
      <c r="V820" s="422"/>
      <c r="W820" s="422"/>
      <c r="X820" s="422"/>
      <c r="Y820" s="422"/>
      <c r="Z820" s="422"/>
    </row>
    <row r="821" spans="1:26" ht="15" thickBot="1">
      <c r="A821" s="422"/>
      <c r="B821" s="422"/>
      <c r="C821" s="422"/>
      <c r="D821" s="422"/>
      <c r="E821" s="422"/>
      <c r="F821" s="422"/>
      <c r="G821" s="422"/>
      <c r="H821" s="422"/>
      <c r="I821" s="422"/>
      <c r="J821" s="422"/>
      <c r="K821" s="422"/>
      <c r="L821" s="422"/>
      <c r="M821" s="422"/>
      <c r="N821" s="422"/>
      <c r="O821" s="422"/>
      <c r="P821" s="422"/>
      <c r="Q821" s="422"/>
      <c r="R821" s="422"/>
      <c r="S821" s="422"/>
      <c r="T821" s="422"/>
      <c r="U821" s="422"/>
      <c r="V821" s="422"/>
      <c r="W821" s="422"/>
      <c r="X821" s="422"/>
      <c r="Y821" s="422"/>
      <c r="Z821" s="422"/>
    </row>
    <row r="822" spans="1:26" ht="15" thickBot="1">
      <c r="A822" s="422"/>
      <c r="B822" s="422"/>
      <c r="C822" s="422"/>
      <c r="D822" s="422"/>
      <c r="E822" s="422"/>
      <c r="F822" s="422"/>
      <c r="G822" s="422"/>
      <c r="H822" s="422"/>
      <c r="I822" s="422"/>
      <c r="J822" s="422"/>
      <c r="K822" s="422"/>
      <c r="L822" s="422"/>
      <c r="M822" s="422"/>
      <c r="N822" s="422"/>
      <c r="O822" s="422"/>
      <c r="P822" s="422"/>
      <c r="Q822" s="422"/>
      <c r="R822" s="422"/>
      <c r="S822" s="422"/>
      <c r="T822" s="422"/>
      <c r="U822" s="422"/>
      <c r="V822" s="422"/>
      <c r="W822" s="422"/>
      <c r="X822" s="422"/>
      <c r="Y822" s="422"/>
      <c r="Z822" s="422"/>
    </row>
    <row r="823" spans="1:26" ht="15" thickBot="1">
      <c r="A823" s="422"/>
      <c r="B823" s="422"/>
      <c r="C823" s="422"/>
      <c r="D823" s="422"/>
      <c r="E823" s="422"/>
      <c r="F823" s="422"/>
      <c r="G823" s="422"/>
      <c r="H823" s="422"/>
      <c r="I823" s="422"/>
      <c r="J823" s="422"/>
      <c r="K823" s="422"/>
      <c r="L823" s="422"/>
      <c r="M823" s="422"/>
      <c r="N823" s="422"/>
      <c r="O823" s="422"/>
      <c r="P823" s="422"/>
      <c r="Q823" s="422"/>
      <c r="R823" s="422"/>
      <c r="S823" s="422"/>
      <c r="T823" s="422"/>
      <c r="U823" s="422"/>
      <c r="V823" s="422"/>
      <c r="W823" s="422"/>
      <c r="X823" s="422"/>
      <c r="Y823" s="422"/>
      <c r="Z823" s="422"/>
    </row>
    <row r="824" spans="1:26" ht="15" thickBot="1">
      <c r="A824" s="422"/>
      <c r="B824" s="422"/>
      <c r="C824" s="422"/>
      <c r="D824" s="422"/>
      <c r="E824" s="422"/>
      <c r="F824" s="422"/>
      <c r="G824" s="422"/>
      <c r="H824" s="422"/>
      <c r="I824" s="422"/>
      <c r="J824" s="422"/>
      <c r="K824" s="422"/>
      <c r="L824" s="422"/>
      <c r="M824" s="422"/>
      <c r="N824" s="422"/>
      <c r="O824" s="422"/>
      <c r="P824" s="422"/>
      <c r="Q824" s="422"/>
      <c r="R824" s="422"/>
      <c r="S824" s="422"/>
      <c r="T824" s="422"/>
      <c r="U824" s="422"/>
      <c r="V824" s="422"/>
      <c r="W824" s="422"/>
      <c r="X824" s="422"/>
      <c r="Y824" s="422"/>
      <c r="Z824" s="422"/>
    </row>
    <row r="825" spans="1:26" ht="15" thickBot="1">
      <c r="A825" s="422"/>
      <c r="B825" s="422"/>
      <c r="C825" s="422"/>
      <c r="D825" s="422"/>
      <c r="E825" s="422"/>
      <c r="F825" s="422"/>
      <c r="G825" s="422"/>
      <c r="H825" s="422"/>
      <c r="I825" s="422"/>
      <c r="J825" s="422"/>
      <c r="K825" s="422"/>
      <c r="L825" s="422"/>
      <c r="M825" s="422"/>
      <c r="N825" s="422"/>
      <c r="O825" s="422"/>
      <c r="P825" s="422"/>
      <c r="Q825" s="422"/>
      <c r="R825" s="422"/>
      <c r="S825" s="422"/>
      <c r="T825" s="422"/>
      <c r="U825" s="422"/>
      <c r="V825" s="422"/>
      <c r="W825" s="422"/>
      <c r="X825" s="422"/>
      <c r="Y825" s="422"/>
      <c r="Z825" s="422"/>
    </row>
    <row r="826" spans="1:26" ht="15" thickBot="1">
      <c r="A826" s="422"/>
      <c r="B826" s="422"/>
      <c r="C826" s="422"/>
      <c r="D826" s="422"/>
      <c r="E826" s="422"/>
      <c r="F826" s="422"/>
      <c r="G826" s="422"/>
      <c r="H826" s="422"/>
      <c r="I826" s="422"/>
      <c r="J826" s="422"/>
      <c r="K826" s="422"/>
      <c r="L826" s="422"/>
      <c r="M826" s="422"/>
      <c r="N826" s="422"/>
      <c r="O826" s="422"/>
      <c r="P826" s="422"/>
      <c r="Q826" s="422"/>
      <c r="R826" s="422"/>
      <c r="S826" s="422"/>
      <c r="T826" s="422"/>
      <c r="U826" s="422"/>
      <c r="V826" s="422"/>
      <c r="W826" s="422"/>
      <c r="X826" s="422"/>
      <c r="Y826" s="422"/>
      <c r="Z826" s="422"/>
    </row>
    <row r="827" spans="1:26" ht="15" thickBot="1">
      <c r="A827" s="422"/>
      <c r="B827" s="422"/>
      <c r="C827" s="422"/>
      <c r="D827" s="422"/>
      <c r="E827" s="422"/>
      <c r="F827" s="422"/>
      <c r="G827" s="422"/>
      <c r="H827" s="422"/>
      <c r="I827" s="422"/>
      <c r="J827" s="422"/>
      <c r="K827" s="422"/>
      <c r="L827" s="422"/>
      <c r="M827" s="422"/>
      <c r="N827" s="422"/>
      <c r="O827" s="422"/>
      <c r="P827" s="422"/>
      <c r="Q827" s="422"/>
      <c r="R827" s="422"/>
      <c r="S827" s="422"/>
      <c r="T827" s="422"/>
      <c r="U827" s="422"/>
      <c r="V827" s="422"/>
      <c r="W827" s="422"/>
      <c r="X827" s="422"/>
      <c r="Y827" s="422"/>
      <c r="Z827" s="422"/>
    </row>
    <row r="828" spans="1:26" ht="15" thickBot="1">
      <c r="A828" s="422"/>
      <c r="B828" s="422"/>
      <c r="C828" s="422"/>
      <c r="D828" s="422"/>
      <c r="E828" s="422"/>
      <c r="F828" s="422"/>
      <c r="G828" s="422"/>
      <c r="H828" s="422"/>
      <c r="I828" s="422"/>
      <c r="J828" s="422"/>
      <c r="K828" s="422"/>
      <c r="L828" s="422"/>
      <c r="M828" s="422"/>
      <c r="N828" s="422"/>
      <c r="O828" s="422"/>
      <c r="P828" s="422"/>
      <c r="Q828" s="422"/>
      <c r="R828" s="422"/>
      <c r="S828" s="422"/>
      <c r="T828" s="422"/>
      <c r="U828" s="422"/>
      <c r="V828" s="422"/>
      <c r="W828" s="422"/>
      <c r="X828" s="422"/>
      <c r="Y828" s="422"/>
      <c r="Z828" s="422"/>
    </row>
    <row r="829" spans="1:26" ht="15" thickBot="1">
      <c r="A829" s="422"/>
      <c r="B829" s="422"/>
      <c r="C829" s="422"/>
      <c r="D829" s="422"/>
      <c r="E829" s="422"/>
      <c r="F829" s="422"/>
      <c r="G829" s="422"/>
      <c r="H829" s="422"/>
      <c r="I829" s="422"/>
      <c r="J829" s="422"/>
      <c r="K829" s="422"/>
      <c r="L829" s="422"/>
      <c r="M829" s="422"/>
      <c r="N829" s="422"/>
      <c r="O829" s="422"/>
      <c r="P829" s="422"/>
      <c r="Q829" s="422"/>
      <c r="R829" s="422"/>
      <c r="S829" s="422"/>
      <c r="T829" s="422"/>
      <c r="U829" s="422"/>
      <c r="V829" s="422"/>
      <c r="W829" s="422"/>
      <c r="X829" s="422"/>
      <c r="Y829" s="422"/>
      <c r="Z829" s="422"/>
    </row>
    <row r="830" spans="1:26" ht="15" thickBot="1">
      <c r="A830" s="422"/>
      <c r="B830" s="422"/>
      <c r="C830" s="422"/>
      <c r="D830" s="422"/>
      <c r="E830" s="422"/>
      <c r="F830" s="422"/>
      <c r="G830" s="422"/>
      <c r="H830" s="422"/>
      <c r="I830" s="422"/>
      <c r="J830" s="422"/>
      <c r="K830" s="422"/>
      <c r="L830" s="422"/>
      <c r="M830" s="422"/>
      <c r="N830" s="422"/>
      <c r="O830" s="422"/>
      <c r="P830" s="422"/>
      <c r="Q830" s="422"/>
      <c r="R830" s="422"/>
      <c r="S830" s="422"/>
      <c r="T830" s="422"/>
      <c r="U830" s="422"/>
      <c r="V830" s="422"/>
      <c r="W830" s="422"/>
      <c r="X830" s="422"/>
      <c r="Y830" s="422"/>
      <c r="Z830" s="422"/>
    </row>
    <row r="831" spans="1:26" ht="15" thickBot="1">
      <c r="A831" s="422"/>
      <c r="B831" s="422"/>
      <c r="C831" s="422"/>
      <c r="D831" s="422"/>
      <c r="E831" s="422"/>
      <c r="F831" s="422"/>
      <c r="G831" s="422"/>
      <c r="H831" s="422"/>
      <c r="I831" s="422"/>
      <c r="J831" s="422"/>
      <c r="K831" s="422"/>
      <c r="L831" s="422"/>
      <c r="M831" s="422"/>
      <c r="N831" s="422"/>
      <c r="O831" s="422"/>
      <c r="P831" s="422"/>
      <c r="Q831" s="422"/>
      <c r="R831" s="422"/>
      <c r="S831" s="422"/>
      <c r="T831" s="422"/>
      <c r="U831" s="422"/>
      <c r="V831" s="422"/>
      <c r="W831" s="422"/>
      <c r="X831" s="422"/>
      <c r="Y831" s="422"/>
      <c r="Z831" s="422"/>
    </row>
    <row r="832" spans="1:26" ht="15" thickBot="1">
      <c r="A832" s="422"/>
      <c r="B832" s="422"/>
      <c r="C832" s="422"/>
      <c r="D832" s="422"/>
      <c r="E832" s="422"/>
      <c r="F832" s="422"/>
      <c r="G832" s="422"/>
      <c r="H832" s="422"/>
      <c r="I832" s="422"/>
      <c r="J832" s="422"/>
      <c r="K832" s="422"/>
      <c r="L832" s="422"/>
      <c r="M832" s="422"/>
      <c r="N832" s="422"/>
      <c r="O832" s="422"/>
      <c r="P832" s="422"/>
      <c r="Q832" s="422"/>
      <c r="R832" s="422"/>
      <c r="S832" s="422"/>
      <c r="T832" s="422"/>
      <c r="U832" s="422"/>
      <c r="V832" s="422"/>
      <c r="W832" s="422"/>
      <c r="X832" s="422"/>
      <c r="Y832" s="422"/>
      <c r="Z832" s="422"/>
    </row>
    <row r="833" spans="1:26" ht="15" thickBot="1">
      <c r="A833" s="422"/>
      <c r="B833" s="422"/>
      <c r="C833" s="422"/>
      <c r="D833" s="422"/>
      <c r="E833" s="422"/>
      <c r="F833" s="422"/>
      <c r="G833" s="422"/>
      <c r="H833" s="422"/>
      <c r="I833" s="422"/>
      <c r="J833" s="422"/>
      <c r="K833" s="422"/>
      <c r="L833" s="422"/>
      <c r="M833" s="422"/>
      <c r="N833" s="422"/>
      <c r="O833" s="422"/>
      <c r="P833" s="422"/>
      <c r="Q833" s="422"/>
      <c r="R833" s="422"/>
      <c r="S833" s="422"/>
      <c r="T833" s="422"/>
      <c r="U833" s="422"/>
      <c r="V833" s="422"/>
      <c r="W833" s="422"/>
      <c r="X833" s="422"/>
      <c r="Y833" s="422"/>
      <c r="Z833" s="422"/>
    </row>
    <row r="834" spans="1:26" ht="15" thickBot="1">
      <c r="A834" s="422"/>
      <c r="B834" s="422"/>
      <c r="C834" s="422"/>
      <c r="D834" s="422"/>
      <c r="E834" s="422"/>
      <c r="F834" s="422"/>
      <c r="G834" s="422"/>
      <c r="H834" s="422"/>
      <c r="I834" s="422"/>
      <c r="J834" s="422"/>
      <c r="K834" s="422"/>
      <c r="L834" s="422"/>
      <c r="M834" s="422"/>
      <c r="N834" s="422"/>
      <c r="O834" s="422"/>
      <c r="P834" s="422"/>
      <c r="Q834" s="422"/>
      <c r="R834" s="422"/>
      <c r="S834" s="422"/>
      <c r="T834" s="422"/>
      <c r="U834" s="422"/>
      <c r="V834" s="422"/>
      <c r="W834" s="422"/>
      <c r="X834" s="422"/>
      <c r="Y834" s="422"/>
      <c r="Z834" s="422"/>
    </row>
    <row r="835" spans="1:26" ht="15" thickBot="1">
      <c r="A835" s="422"/>
      <c r="B835" s="422"/>
      <c r="C835" s="422"/>
      <c r="D835" s="422"/>
      <c r="E835" s="422"/>
      <c r="F835" s="422"/>
      <c r="G835" s="422"/>
      <c r="H835" s="422"/>
      <c r="I835" s="422"/>
      <c r="J835" s="422"/>
      <c r="K835" s="422"/>
      <c r="L835" s="422"/>
      <c r="M835" s="422"/>
      <c r="N835" s="422"/>
      <c r="O835" s="422"/>
      <c r="P835" s="422"/>
      <c r="Q835" s="422"/>
      <c r="R835" s="422"/>
      <c r="S835" s="422"/>
      <c r="T835" s="422"/>
      <c r="U835" s="422"/>
      <c r="V835" s="422"/>
      <c r="W835" s="422"/>
      <c r="X835" s="422"/>
      <c r="Y835" s="422"/>
      <c r="Z835" s="422"/>
    </row>
    <row r="836" spans="1:26" ht="15" thickBot="1">
      <c r="A836" s="422"/>
      <c r="B836" s="422"/>
      <c r="C836" s="422"/>
      <c r="D836" s="422"/>
      <c r="E836" s="422"/>
      <c r="F836" s="422"/>
      <c r="G836" s="422"/>
      <c r="H836" s="422"/>
      <c r="I836" s="422"/>
      <c r="J836" s="422"/>
      <c r="K836" s="422"/>
      <c r="L836" s="422"/>
      <c r="M836" s="422"/>
      <c r="N836" s="422"/>
      <c r="O836" s="422"/>
      <c r="P836" s="422"/>
      <c r="Q836" s="422"/>
      <c r="R836" s="422"/>
      <c r="S836" s="422"/>
      <c r="T836" s="422"/>
      <c r="U836" s="422"/>
      <c r="V836" s="422"/>
      <c r="W836" s="422"/>
      <c r="X836" s="422"/>
      <c r="Y836" s="422"/>
      <c r="Z836" s="422"/>
    </row>
    <row r="837" spans="1:26" ht="15" thickBot="1">
      <c r="A837" s="422"/>
      <c r="B837" s="422"/>
      <c r="C837" s="422"/>
      <c r="D837" s="422"/>
      <c r="E837" s="422"/>
      <c r="F837" s="422"/>
      <c r="G837" s="422"/>
      <c r="H837" s="422"/>
      <c r="I837" s="422"/>
      <c r="J837" s="422"/>
      <c r="K837" s="422"/>
      <c r="L837" s="422"/>
      <c r="M837" s="422"/>
      <c r="N837" s="422"/>
      <c r="O837" s="422"/>
      <c r="P837" s="422"/>
      <c r="Q837" s="422"/>
      <c r="R837" s="422"/>
      <c r="S837" s="422"/>
      <c r="T837" s="422"/>
      <c r="U837" s="422"/>
      <c r="V837" s="422"/>
      <c r="W837" s="422"/>
      <c r="X837" s="422"/>
      <c r="Y837" s="422"/>
      <c r="Z837" s="422"/>
    </row>
    <row r="838" spans="1:26" ht="15" thickBot="1">
      <c r="A838" s="422"/>
      <c r="B838" s="422"/>
      <c r="C838" s="422"/>
      <c r="D838" s="422"/>
      <c r="E838" s="422"/>
      <c r="F838" s="422"/>
      <c r="G838" s="422"/>
      <c r="H838" s="422"/>
      <c r="I838" s="422"/>
      <c r="J838" s="422"/>
      <c r="K838" s="422"/>
      <c r="L838" s="422"/>
      <c r="M838" s="422"/>
      <c r="N838" s="422"/>
      <c r="O838" s="422"/>
      <c r="P838" s="422"/>
      <c r="Q838" s="422"/>
      <c r="R838" s="422"/>
      <c r="S838" s="422"/>
      <c r="T838" s="422"/>
      <c r="U838" s="422"/>
      <c r="V838" s="422"/>
      <c r="W838" s="422"/>
      <c r="X838" s="422"/>
      <c r="Y838" s="422"/>
      <c r="Z838" s="422"/>
    </row>
    <row r="839" spans="1:26" ht="15" thickBot="1">
      <c r="A839" s="422"/>
      <c r="B839" s="422"/>
      <c r="C839" s="422"/>
      <c r="D839" s="422"/>
      <c r="E839" s="422"/>
      <c r="F839" s="422"/>
      <c r="G839" s="422"/>
      <c r="H839" s="422"/>
      <c r="I839" s="422"/>
      <c r="J839" s="422"/>
      <c r="K839" s="422"/>
      <c r="L839" s="422"/>
      <c r="M839" s="422"/>
      <c r="N839" s="422"/>
      <c r="O839" s="422"/>
      <c r="P839" s="422"/>
      <c r="Q839" s="422"/>
      <c r="R839" s="422"/>
      <c r="S839" s="422"/>
      <c r="T839" s="422"/>
      <c r="U839" s="422"/>
      <c r="V839" s="422"/>
      <c r="W839" s="422"/>
      <c r="X839" s="422"/>
      <c r="Y839" s="422"/>
      <c r="Z839" s="422"/>
    </row>
    <row r="840" spans="1:26" ht="15" thickBot="1">
      <c r="A840" s="422"/>
      <c r="B840" s="422"/>
      <c r="C840" s="422"/>
      <c r="D840" s="422"/>
      <c r="E840" s="422"/>
      <c r="F840" s="422"/>
      <c r="G840" s="422"/>
      <c r="H840" s="422"/>
      <c r="I840" s="422"/>
      <c r="J840" s="422"/>
      <c r="K840" s="422"/>
      <c r="L840" s="422"/>
      <c r="M840" s="422"/>
      <c r="N840" s="422"/>
      <c r="O840" s="422"/>
      <c r="P840" s="422"/>
      <c r="Q840" s="422"/>
      <c r="R840" s="422"/>
      <c r="S840" s="422"/>
      <c r="T840" s="422"/>
      <c r="U840" s="422"/>
      <c r="V840" s="422"/>
      <c r="W840" s="422"/>
      <c r="X840" s="422"/>
      <c r="Y840" s="422"/>
      <c r="Z840" s="422"/>
    </row>
    <row r="841" spans="1:26" ht="15" thickBot="1">
      <c r="A841" s="422"/>
      <c r="B841" s="422"/>
      <c r="C841" s="422"/>
      <c r="D841" s="422"/>
      <c r="E841" s="422"/>
      <c r="F841" s="422"/>
      <c r="G841" s="422"/>
      <c r="H841" s="422"/>
      <c r="I841" s="422"/>
      <c r="J841" s="422"/>
      <c r="K841" s="422"/>
      <c r="L841" s="422"/>
      <c r="M841" s="422"/>
      <c r="N841" s="422"/>
      <c r="O841" s="422"/>
      <c r="P841" s="422"/>
      <c r="Q841" s="422"/>
      <c r="R841" s="422"/>
      <c r="S841" s="422"/>
      <c r="T841" s="422"/>
      <c r="U841" s="422"/>
      <c r="V841" s="422"/>
      <c r="W841" s="422"/>
      <c r="X841" s="422"/>
      <c r="Y841" s="422"/>
      <c r="Z841" s="422"/>
    </row>
    <row r="842" spans="1:26" ht="15" thickBot="1">
      <c r="A842" s="422"/>
      <c r="B842" s="422"/>
      <c r="C842" s="422"/>
      <c r="D842" s="422"/>
      <c r="E842" s="422"/>
      <c r="F842" s="422"/>
      <c r="G842" s="422"/>
      <c r="H842" s="422"/>
      <c r="I842" s="422"/>
      <c r="J842" s="422"/>
      <c r="K842" s="422"/>
      <c r="L842" s="422"/>
      <c r="M842" s="422"/>
      <c r="N842" s="422"/>
      <c r="O842" s="422"/>
      <c r="P842" s="422"/>
      <c r="Q842" s="422"/>
      <c r="R842" s="422"/>
      <c r="S842" s="422"/>
      <c r="T842" s="422"/>
      <c r="U842" s="422"/>
      <c r="V842" s="422"/>
      <c r="W842" s="422"/>
      <c r="X842" s="422"/>
      <c r="Y842" s="422"/>
      <c r="Z842" s="422"/>
    </row>
    <row r="843" spans="1:26" ht="15" thickBot="1">
      <c r="A843" s="422"/>
      <c r="B843" s="422"/>
      <c r="C843" s="422"/>
      <c r="D843" s="422"/>
      <c r="E843" s="422"/>
      <c r="F843" s="422"/>
      <c r="G843" s="422"/>
      <c r="H843" s="422"/>
      <c r="I843" s="422"/>
      <c r="J843" s="422"/>
      <c r="K843" s="422"/>
      <c r="L843" s="422"/>
      <c r="M843" s="422"/>
      <c r="N843" s="422"/>
      <c r="O843" s="422"/>
      <c r="P843" s="422"/>
      <c r="Q843" s="422"/>
      <c r="R843" s="422"/>
      <c r="S843" s="422"/>
      <c r="T843" s="422"/>
      <c r="U843" s="422"/>
      <c r="V843" s="422"/>
      <c r="W843" s="422"/>
      <c r="X843" s="422"/>
      <c r="Y843" s="422"/>
      <c r="Z843" s="422"/>
    </row>
    <row r="844" spans="1:26" ht="15" thickBot="1">
      <c r="A844" s="422"/>
      <c r="B844" s="422"/>
      <c r="C844" s="422"/>
      <c r="D844" s="422"/>
      <c r="E844" s="422"/>
      <c r="F844" s="422"/>
      <c r="G844" s="422"/>
      <c r="H844" s="422"/>
      <c r="I844" s="422"/>
      <c r="J844" s="422"/>
      <c r="K844" s="422"/>
      <c r="L844" s="422"/>
      <c r="M844" s="422"/>
      <c r="N844" s="422"/>
      <c r="O844" s="422"/>
      <c r="P844" s="422"/>
      <c r="Q844" s="422"/>
      <c r="R844" s="422"/>
      <c r="S844" s="422"/>
      <c r="T844" s="422"/>
      <c r="U844" s="422"/>
      <c r="V844" s="422"/>
      <c r="W844" s="422"/>
      <c r="X844" s="422"/>
      <c r="Y844" s="422"/>
      <c r="Z844" s="422"/>
    </row>
    <row r="845" spans="1:26" ht="15" thickBot="1">
      <c r="A845" s="422"/>
      <c r="B845" s="422"/>
      <c r="C845" s="422"/>
      <c r="D845" s="422"/>
      <c r="E845" s="422"/>
      <c r="F845" s="422"/>
      <c r="G845" s="422"/>
      <c r="H845" s="422"/>
      <c r="I845" s="422"/>
      <c r="J845" s="422"/>
      <c r="K845" s="422"/>
      <c r="L845" s="422"/>
      <c r="M845" s="422"/>
      <c r="N845" s="422"/>
      <c r="O845" s="422"/>
      <c r="P845" s="422"/>
      <c r="Q845" s="422"/>
      <c r="R845" s="422"/>
      <c r="S845" s="422"/>
      <c r="T845" s="422"/>
      <c r="U845" s="422"/>
      <c r="V845" s="422"/>
      <c r="W845" s="422"/>
      <c r="X845" s="422"/>
      <c r="Y845" s="422"/>
      <c r="Z845" s="422"/>
    </row>
    <row r="846" spans="1:26" ht="15" thickBot="1">
      <c r="A846" s="422"/>
      <c r="B846" s="422"/>
      <c r="C846" s="422"/>
      <c r="D846" s="422"/>
      <c r="E846" s="422"/>
      <c r="F846" s="422"/>
      <c r="G846" s="422"/>
      <c r="H846" s="422"/>
      <c r="I846" s="422"/>
      <c r="J846" s="422"/>
      <c r="K846" s="422"/>
      <c r="L846" s="422"/>
      <c r="M846" s="422"/>
      <c r="N846" s="422"/>
      <c r="O846" s="422"/>
      <c r="P846" s="422"/>
      <c r="Q846" s="422"/>
      <c r="R846" s="422"/>
      <c r="S846" s="422"/>
      <c r="T846" s="422"/>
      <c r="U846" s="422"/>
      <c r="V846" s="422"/>
      <c r="W846" s="422"/>
      <c r="X846" s="422"/>
      <c r="Y846" s="422"/>
      <c r="Z846" s="422"/>
    </row>
    <row r="847" spans="1:26" ht="15" thickBot="1">
      <c r="A847" s="422"/>
      <c r="B847" s="422"/>
      <c r="C847" s="422"/>
      <c r="D847" s="422"/>
      <c r="E847" s="422"/>
      <c r="F847" s="422"/>
      <c r="G847" s="422"/>
      <c r="H847" s="422"/>
      <c r="I847" s="422"/>
      <c r="J847" s="422"/>
      <c r="K847" s="422"/>
      <c r="L847" s="422"/>
      <c r="M847" s="422"/>
      <c r="N847" s="422"/>
      <c r="O847" s="422"/>
      <c r="P847" s="422"/>
      <c r="Q847" s="422"/>
      <c r="R847" s="422"/>
      <c r="S847" s="422"/>
      <c r="T847" s="422"/>
      <c r="U847" s="422"/>
      <c r="V847" s="422"/>
      <c r="W847" s="422"/>
      <c r="X847" s="422"/>
      <c r="Y847" s="422"/>
      <c r="Z847" s="422"/>
    </row>
    <row r="848" spans="1:26" ht="15" thickBot="1">
      <c r="A848" s="422"/>
      <c r="B848" s="422"/>
      <c r="C848" s="422"/>
      <c r="D848" s="422"/>
      <c r="E848" s="422"/>
      <c r="F848" s="422"/>
      <c r="G848" s="422"/>
      <c r="H848" s="422"/>
      <c r="I848" s="422"/>
      <c r="J848" s="422"/>
      <c r="K848" s="422"/>
      <c r="L848" s="422"/>
      <c r="M848" s="422"/>
      <c r="N848" s="422"/>
      <c r="O848" s="422"/>
      <c r="P848" s="422"/>
      <c r="Q848" s="422"/>
      <c r="R848" s="422"/>
      <c r="S848" s="422"/>
      <c r="T848" s="422"/>
      <c r="U848" s="422"/>
      <c r="V848" s="422"/>
      <c r="W848" s="422"/>
      <c r="X848" s="422"/>
      <c r="Y848" s="422"/>
      <c r="Z848" s="422"/>
    </row>
    <row r="849" spans="1:26" ht="15" thickBot="1">
      <c r="A849" s="422"/>
      <c r="B849" s="422"/>
      <c r="C849" s="422"/>
      <c r="D849" s="422"/>
      <c r="E849" s="422"/>
      <c r="F849" s="422"/>
      <c r="G849" s="422"/>
      <c r="H849" s="422"/>
      <c r="I849" s="422"/>
      <c r="J849" s="422"/>
      <c r="K849" s="422"/>
      <c r="L849" s="422"/>
      <c r="M849" s="422"/>
      <c r="N849" s="422"/>
      <c r="O849" s="422"/>
      <c r="P849" s="422"/>
      <c r="Q849" s="422"/>
      <c r="R849" s="422"/>
      <c r="S849" s="422"/>
      <c r="T849" s="422"/>
      <c r="U849" s="422"/>
      <c r="V849" s="422"/>
      <c r="W849" s="422"/>
      <c r="X849" s="422"/>
      <c r="Y849" s="422"/>
      <c r="Z849" s="422"/>
    </row>
    <row r="850" spans="1:26" ht="15" thickBot="1">
      <c r="A850" s="422"/>
      <c r="B850" s="422"/>
      <c r="C850" s="422"/>
      <c r="D850" s="422"/>
      <c r="E850" s="422"/>
      <c r="F850" s="422"/>
      <c r="G850" s="422"/>
      <c r="H850" s="422"/>
      <c r="I850" s="422"/>
      <c r="J850" s="422"/>
      <c r="K850" s="422"/>
      <c r="L850" s="422"/>
      <c r="M850" s="422"/>
      <c r="N850" s="422"/>
      <c r="O850" s="422"/>
      <c r="P850" s="422"/>
      <c r="Q850" s="422"/>
      <c r="R850" s="422"/>
      <c r="S850" s="422"/>
      <c r="T850" s="422"/>
      <c r="U850" s="422"/>
      <c r="V850" s="422"/>
      <c r="W850" s="422"/>
      <c r="X850" s="422"/>
      <c r="Y850" s="422"/>
      <c r="Z850" s="422"/>
    </row>
    <row r="851" spans="1:26" ht="15" thickBot="1">
      <c r="A851" s="422"/>
      <c r="B851" s="422"/>
      <c r="C851" s="422"/>
      <c r="D851" s="422"/>
      <c r="E851" s="422"/>
      <c r="F851" s="422"/>
      <c r="G851" s="422"/>
      <c r="H851" s="422"/>
      <c r="I851" s="422"/>
      <c r="J851" s="422"/>
      <c r="K851" s="422"/>
      <c r="L851" s="422"/>
      <c r="M851" s="422"/>
      <c r="N851" s="422"/>
      <c r="O851" s="422"/>
      <c r="P851" s="422"/>
      <c r="Q851" s="422"/>
      <c r="R851" s="422"/>
      <c r="S851" s="422"/>
      <c r="T851" s="422"/>
      <c r="U851" s="422"/>
      <c r="V851" s="422"/>
      <c r="W851" s="422"/>
      <c r="X851" s="422"/>
      <c r="Y851" s="422"/>
      <c r="Z851" s="422"/>
    </row>
    <row r="852" spans="1:26" ht="15" thickBot="1">
      <c r="A852" s="422"/>
      <c r="B852" s="422"/>
      <c r="C852" s="422"/>
      <c r="D852" s="422"/>
      <c r="E852" s="422"/>
      <c r="F852" s="422"/>
      <c r="G852" s="422"/>
      <c r="H852" s="422"/>
      <c r="I852" s="422"/>
      <c r="J852" s="422"/>
      <c r="K852" s="422"/>
      <c r="L852" s="422"/>
      <c r="M852" s="422"/>
      <c r="N852" s="422"/>
      <c r="O852" s="422"/>
      <c r="P852" s="422"/>
      <c r="Q852" s="422"/>
      <c r="R852" s="422"/>
      <c r="S852" s="422"/>
      <c r="T852" s="422"/>
      <c r="U852" s="422"/>
      <c r="V852" s="422"/>
      <c r="W852" s="422"/>
      <c r="X852" s="422"/>
      <c r="Y852" s="422"/>
      <c r="Z852" s="422"/>
    </row>
    <row r="853" spans="1:26" ht="15" thickBot="1">
      <c r="A853" s="422"/>
      <c r="B853" s="422"/>
      <c r="C853" s="422"/>
      <c r="D853" s="422"/>
      <c r="E853" s="422"/>
      <c r="F853" s="422"/>
      <c r="G853" s="422"/>
      <c r="H853" s="422"/>
      <c r="I853" s="422"/>
      <c r="J853" s="422"/>
      <c r="K853" s="422"/>
      <c r="L853" s="422"/>
      <c r="M853" s="422"/>
      <c r="N853" s="422"/>
      <c r="O853" s="422"/>
      <c r="P853" s="422"/>
      <c r="Q853" s="422"/>
      <c r="R853" s="422"/>
      <c r="S853" s="422"/>
      <c r="T853" s="422"/>
      <c r="U853" s="422"/>
      <c r="V853" s="422"/>
      <c r="W853" s="422"/>
      <c r="X853" s="422"/>
      <c r="Y853" s="422"/>
      <c r="Z853" s="422"/>
    </row>
    <row r="854" spans="1:26" ht="15" thickBot="1">
      <c r="A854" s="422"/>
      <c r="B854" s="422"/>
      <c r="C854" s="422"/>
      <c r="D854" s="422"/>
      <c r="E854" s="422"/>
      <c r="F854" s="422"/>
      <c r="G854" s="422"/>
      <c r="H854" s="422"/>
      <c r="I854" s="422"/>
      <c r="J854" s="422"/>
      <c r="K854" s="422"/>
      <c r="L854" s="422"/>
      <c r="M854" s="422"/>
      <c r="N854" s="422"/>
      <c r="O854" s="422"/>
      <c r="P854" s="422"/>
      <c r="Q854" s="422"/>
      <c r="R854" s="422"/>
      <c r="S854" s="422"/>
      <c r="T854" s="422"/>
      <c r="U854" s="422"/>
      <c r="V854" s="422"/>
      <c r="W854" s="422"/>
      <c r="X854" s="422"/>
      <c r="Y854" s="422"/>
      <c r="Z854" s="422"/>
    </row>
    <row r="855" spans="1:26" ht="15" thickBot="1">
      <c r="A855" s="422"/>
      <c r="B855" s="422"/>
      <c r="C855" s="422"/>
      <c r="D855" s="422"/>
      <c r="E855" s="422"/>
      <c r="F855" s="422"/>
      <c r="G855" s="422"/>
      <c r="H855" s="422"/>
      <c r="I855" s="422"/>
      <c r="J855" s="422"/>
      <c r="K855" s="422"/>
      <c r="L855" s="422"/>
      <c r="M855" s="422"/>
      <c r="N855" s="422"/>
      <c r="O855" s="422"/>
      <c r="P855" s="422"/>
      <c r="Q855" s="422"/>
      <c r="R855" s="422"/>
      <c r="S855" s="422"/>
      <c r="T855" s="422"/>
      <c r="U855" s="422"/>
      <c r="V855" s="422"/>
      <c r="W855" s="422"/>
      <c r="X855" s="422"/>
      <c r="Y855" s="422"/>
      <c r="Z855" s="422"/>
    </row>
    <row r="856" spans="1:26" ht="15" thickBot="1">
      <c r="A856" s="422"/>
      <c r="B856" s="422"/>
      <c r="C856" s="422"/>
      <c r="D856" s="422"/>
      <c r="E856" s="422"/>
      <c r="F856" s="422"/>
      <c r="G856" s="422"/>
      <c r="H856" s="422"/>
      <c r="I856" s="422"/>
      <c r="J856" s="422"/>
      <c r="K856" s="422"/>
      <c r="L856" s="422"/>
      <c r="M856" s="422"/>
      <c r="N856" s="422"/>
      <c r="O856" s="422"/>
      <c r="P856" s="422"/>
      <c r="Q856" s="422"/>
      <c r="R856" s="422"/>
      <c r="S856" s="422"/>
      <c r="T856" s="422"/>
      <c r="U856" s="422"/>
      <c r="V856" s="422"/>
      <c r="W856" s="422"/>
      <c r="X856" s="422"/>
      <c r="Y856" s="422"/>
      <c r="Z856" s="422"/>
    </row>
    <row r="857" spans="1:26" ht="15" thickBot="1">
      <c r="A857" s="422"/>
      <c r="B857" s="422"/>
      <c r="C857" s="422"/>
      <c r="D857" s="422"/>
      <c r="E857" s="422"/>
      <c r="F857" s="422"/>
      <c r="G857" s="422"/>
      <c r="H857" s="422"/>
      <c r="I857" s="422"/>
      <c r="J857" s="422"/>
      <c r="K857" s="422"/>
      <c r="L857" s="422"/>
      <c r="M857" s="422"/>
      <c r="N857" s="422"/>
      <c r="O857" s="422"/>
      <c r="P857" s="422"/>
      <c r="Q857" s="422"/>
      <c r="R857" s="422"/>
      <c r="S857" s="422"/>
      <c r="T857" s="422"/>
      <c r="U857" s="422"/>
      <c r="V857" s="422"/>
      <c r="W857" s="422"/>
      <c r="X857" s="422"/>
      <c r="Y857" s="422"/>
      <c r="Z857" s="422"/>
    </row>
    <row r="858" spans="1:26" ht="15" thickBot="1">
      <c r="A858" s="422"/>
      <c r="B858" s="422"/>
      <c r="C858" s="422"/>
      <c r="D858" s="422"/>
      <c r="E858" s="422"/>
      <c r="F858" s="422"/>
      <c r="G858" s="422"/>
      <c r="H858" s="422"/>
      <c r="I858" s="422"/>
      <c r="J858" s="422"/>
      <c r="K858" s="422"/>
      <c r="L858" s="422"/>
      <c r="M858" s="422"/>
      <c r="N858" s="422"/>
      <c r="O858" s="422"/>
      <c r="P858" s="422"/>
      <c r="Q858" s="422"/>
      <c r="R858" s="422"/>
      <c r="S858" s="422"/>
      <c r="T858" s="422"/>
      <c r="U858" s="422"/>
      <c r="V858" s="422"/>
      <c r="W858" s="422"/>
      <c r="X858" s="422"/>
      <c r="Y858" s="422"/>
      <c r="Z858" s="422"/>
    </row>
    <row r="859" spans="1:26" ht="15" thickBot="1">
      <c r="A859" s="422"/>
      <c r="B859" s="422"/>
      <c r="C859" s="422"/>
      <c r="D859" s="422"/>
      <c r="E859" s="422"/>
      <c r="F859" s="422"/>
      <c r="G859" s="422"/>
      <c r="H859" s="422"/>
      <c r="I859" s="422"/>
      <c r="J859" s="422"/>
      <c r="K859" s="422"/>
      <c r="L859" s="422"/>
      <c r="M859" s="422"/>
      <c r="N859" s="422"/>
      <c r="O859" s="422"/>
      <c r="P859" s="422"/>
      <c r="Q859" s="422"/>
      <c r="R859" s="422"/>
      <c r="S859" s="422"/>
      <c r="T859" s="422"/>
      <c r="U859" s="422"/>
      <c r="V859" s="422"/>
      <c r="W859" s="422"/>
      <c r="X859" s="422"/>
      <c r="Y859" s="422"/>
      <c r="Z859" s="422"/>
    </row>
    <row r="860" spans="1:26" ht="15" thickBot="1">
      <c r="A860" s="422"/>
      <c r="B860" s="422"/>
      <c r="C860" s="422"/>
      <c r="D860" s="422"/>
      <c r="E860" s="422"/>
      <c r="F860" s="422"/>
      <c r="G860" s="422"/>
      <c r="H860" s="422"/>
      <c r="I860" s="422"/>
      <c r="J860" s="422"/>
      <c r="K860" s="422"/>
      <c r="L860" s="422"/>
      <c r="M860" s="422"/>
      <c r="N860" s="422"/>
      <c r="O860" s="422"/>
      <c r="P860" s="422"/>
      <c r="Q860" s="422"/>
      <c r="R860" s="422"/>
      <c r="S860" s="422"/>
      <c r="T860" s="422"/>
      <c r="U860" s="422"/>
      <c r="V860" s="422"/>
      <c r="W860" s="422"/>
      <c r="X860" s="422"/>
      <c r="Y860" s="422"/>
      <c r="Z860" s="422"/>
    </row>
    <row r="861" spans="1:26" ht="15" thickBot="1">
      <c r="A861" s="422"/>
      <c r="B861" s="422"/>
      <c r="C861" s="422"/>
      <c r="D861" s="422"/>
      <c r="E861" s="422"/>
      <c r="F861" s="422"/>
      <c r="G861" s="422"/>
      <c r="H861" s="422"/>
      <c r="I861" s="422"/>
      <c r="J861" s="422"/>
      <c r="K861" s="422"/>
      <c r="L861" s="422"/>
      <c r="M861" s="422"/>
      <c r="N861" s="422"/>
      <c r="O861" s="422"/>
      <c r="P861" s="422"/>
      <c r="Q861" s="422"/>
      <c r="R861" s="422"/>
      <c r="S861" s="422"/>
      <c r="T861" s="422"/>
      <c r="U861" s="422"/>
      <c r="V861" s="422"/>
      <c r="W861" s="422"/>
      <c r="X861" s="422"/>
      <c r="Y861" s="422"/>
      <c r="Z861" s="422"/>
    </row>
    <row r="862" spans="1:26" ht="15" thickBot="1">
      <c r="A862" s="422"/>
      <c r="B862" s="422"/>
      <c r="C862" s="422"/>
      <c r="D862" s="422"/>
      <c r="E862" s="422"/>
      <c r="F862" s="422"/>
      <c r="G862" s="422"/>
      <c r="H862" s="422"/>
      <c r="I862" s="422"/>
      <c r="J862" s="422"/>
      <c r="K862" s="422"/>
      <c r="L862" s="422"/>
      <c r="M862" s="422"/>
      <c r="N862" s="422"/>
      <c r="O862" s="422"/>
      <c r="P862" s="422"/>
      <c r="Q862" s="422"/>
      <c r="R862" s="422"/>
      <c r="S862" s="422"/>
      <c r="T862" s="422"/>
      <c r="U862" s="422"/>
      <c r="V862" s="422"/>
      <c r="W862" s="422"/>
      <c r="X862" s="422"/>
      <c r="Y862" s="422"/>
      <c r="Z862" s="422"/>
    </row>
    <row r="863" spans="1:26" ht="15" thickBot="1">
      <c r="A863" s="422"/>
      <c r="B863" s="422"/>
      <c r="C863" s="422"/>
      <c r="D863" s="422"/>
      <c r="E863" s="422"/>
      <c r="F863" s="422"/>
      <c r="G863" s="422"/>
      <c r="H863" s="422"/>
      <c r="I863" s="422"/>
      <c r="J863" s="422"/>
      <c r="K863" s="422"/>
      <c r="L863" s="422"/>
      <c r="M863" s="422"/>
      <c r="N863" s="422"/>
      <c r="O863" s="422"/>
      <c r="P863" s="422"/>
      <c r="Q863" s="422"/>
      <c r="R863" s="422"/>
      <c r="S863" s="422"/>
      <c r="T863" s="422"/>
      <c r="U863" s="422"/>
      <c r="V863" s="422"/>
      <c r="W863" s="422"/>
      <c r="X863" s="422"/>
      <c r="Y863" s="422"/>
      <c r="Z863" s="422"/>
    </row>
    <row r="864" spans="1:26" ht="15" thickBot="1">
      <c r="A864" s="422"/>
      <c r="B864" s="422"/>
      <c r="C864" s="422"/>
      <c r="D864" s="422"/>
      <c r="E864" s="422"/>
      <c r="F864" s="422"/>
      <c r="G864" s="422"/>
      <c r="H864" s="422"/>
      <c r="I864" s="422"/>
      <c r="J864" s="422"/>
      <c r="K864" s="422"/>
      <c r="L864" s="422"/>
      <c r="M864" s="422"/>
      <c r="N864" s="422"/>
      <c r="O864" s="422"/>
      <c r="P864" s="422"/>
      <c r="Q864" s="422"/>
      <c r="R864" s="422"/>
      <c r="S864" s="422"/>
      <c r="T864" s="422"/>
      <c r="U864" s="422"/>
      <c r="V864" s="422"/>
      <c r="W864" s="422"/>
      <c r="X864" s="422"/>
      <c r="Y864" s="422"/>
      <c r="Z864" s="422"/>
    </row>
    <row r="865" spans="1:26" ht="15" thickBot="1">
      <c r="A865" s="422"/>
      <c r="B865" s="422"/>
      <c r="C865" s="422"/>
      <c r="D865" s="422"/>
      <c r="E865" s="422"/>
      <c r="F865" s="422"/>
      <c r="G865" s="422"/>
      <c r="H865" s="422"/>
      <c r="I865" s="422"/>
      <c r="J865" s="422"/>
      <c r="K865" s="422"/>
      <c r="L865" s="422"/>
      <c r="M865" s="422"/>
      <c r="N865" s="422"/>
      <c r="O865" s="422"/>
      <c r="P865" s="422"/>
      <c r="Q865" s="422"/>
      <c r="R865" s="422"/>
      <c r="S865" s="422"/>
      <c r="T865" s="422"/>
      <c r="U865" s="422"/>
      <c r="V865" s="422"/>
      <c r="W865" s="422"/>
      <c r="X865" s="422"/>
      <c r="Y865" s="422"/>
      <c r="Z865" s="422"/>
    </row>
    <row r="866" spans="1:26" ht="15" thickBot="1">
      <c r="A866" s="422"/>
      <c r="B866" s="422"/>
      <c r="C866" s="422"/>
      <c r="D866" s="422"/>
      <c r="E866" s="422"/>
      <c r="F866" s="422"/>
      <c r="G866" s="422"/>
      <c r="H866" s="422"/>
      <c r="I866" s="422"/>
      <c r="J866" s="422"/>
      <c r="K866" s="422"/>
      <c r="L866" s="422"/>
      <c r="M866" s="422"/>
      <c r="N866" s="422"/>
      <c r="O866" s="422"/>
      <c r="P866" s="422"/>
      <c r="Q866" s="422"/>
      <c r="R866" s="422"/>
      <c r="S866" s="422"/>
      <c r="T866" s="422"/>
      <c r="U866" s="422"/>
      <c r="V866" s="422"/>
      <c r="W866" s="422"/>
      <c r="X866" s="422"/>
      <c r="Y866" s="422"/>
      <c r="Z866" s="422"/>
    </row>
    <row r="867" spans="1:26" ht="15" thickBot="1">
      <c r="A867" s="422"/>
      <c r="B867" s="422"/>
      <c r="C867" s="422"/>
      <c r="D867" s="422"/>
      <c r="E867" s="422"/>
      <c r="F867" s="422"/>
      <c r="G867" s="422"/>
      <c r="H867" s="422"/>
      <c r="I867" s="422"/>
      <c r="J867" s="422"/>
      <c r="K867" s="422"/>
      <c r="L867" s="422"/>
      <c r="M867" s="422"/>
      <c r="N867" s="422"/>
      <c r="O867" s="422"/>
      <c r="P867" s="422"/>
      <c r="Q867" s="422"/>
      <c r="R867" s="422"/>
      <c r="S867" s="422"/>
      <c r="T867" s="422"/>
      <c r="U867" s="422"/>
      <c r="V867" s="422"/>
      <c r="W867" s="422"/>
      <c r="X867" s="422"/>
      <c r="Y867" s="422"/>
      <c r="Z867" s="422"/>
    </row>
    <row r="868" spans="1:26" ht="15" thickBot="1">
      <c r="A868" s="422"/>
      <c r="B868" s="422"/>
      <c r="C868" s="422"/>
      <c r="D868" s="422"/>
      <c r="E868" s="422"/>
      <c r="F868" s="422"/>
      <c r="G868" s="422"/>
      <c r="H868" s="422"/>
      <c r="I868" s="422"/>
      <c r="J868" s="422"/>
      <c r="K868" s="422"/>
      <c r="L868" s="422"/>
      <c r="M868" s="422"/>
      <c r="N868" s="422"/>
      <c r="O868" s="422"/>
      <c r="P868" s="422"/>
      <c r="Q868" s="422"/>
      <c r="R868" s="422"/>
      <c r="S868" s="422"/>
      <c r="T868" s="422"/>
      <c r="U868" s="422"/>
      <c r="V868" s="422"/>
      <c r="W868" s="422"/>
      <c r="X868" s="422"/>
      <c r="Y868" s="422"/>
      <c r="Z868" s="422"/>
    </row>
    <row r="869" spans="1:26" ht="15" thickBot="1">
      <c r="A869" s="422"/>
      <c r="B869" s="422"/>
      <c r="C869" s="422"/>
      <c r="D869" s="422"/>
      <c r="E869" s="422"/>
      <c r="F869" s="422"/>
      <c r="G869" s="422"/>
      <c r="H869" s="422"/>
      <c r="I869" s="422"/>
      <c r="J869" s="422"/>
      <c r="K869" s="422"/>
      <c r="L869" s="422"/>
      <c r="M869" s="422"/>
      <c r="N869" s="422"/>
      <c r="O869" s="422"/>
      <c r="P869" s="422"/>
      <c r="Q869" s="422"/>
      <c r="R869" s="422"/>
      <c r="S869" s="422"/>
      <c r="T869" s="422"/>
      <c r="U869" s="422"/>
      <c r="V869" s="422"/>
      <c r="W869" s="422"/>
      <c r="X869" s="422"/>
      <c r="Y869" s="422"/>
      <c r="Z869" s="422"/>
    </row>
    <row r="870" spans="1:26" ht="15" thickBot="1">
      <c r="A870" s="422"/>
      <c r="B870" s="422"/>
      <c r="C870" s="422"/>
      <c r="D870" s="422"/>
      <c r="E870" s="422"/>
      <c r="F870" s="422"/>
      <c r="G870" s="422"/>
      <c r="H870" s="422"/>
      <c r="I870" s="422"/>
      <c r="J870" s="422"/>
      <c r="K870" s="422"/>
      <c r="L870" s="422"/>
      <c r="M870" s="422"/>
      <c r="N870" s="422"/>
      <c r="O870" s="422"/>
      <c r="P870" s="422"/>
      <c r="Q870" s="422"/>
      <c r="R870" s="422"/>
      <c r="S870" s="422"/>
      <c r="T870" s="422"/>
      <c r="U870" s="422"/>
      <c r="V870" s="422"/>
      <c r="W870" s="422"/>
      <c r="X870" s="422"/>
      <c r="Y870" s="422"/>
      <c r="Z870" s="422"/>
    </row>
    <row r="871" spans="1:26" ht="15" thickBot="1">
      <c r="A871" s="422"/>
      <c r="B871" s="422"/>
      <c r="C871" s="422"/>
      <c r="D871" s="422"/>
      <c r="E871" s="422"/>
      <c r="F871" s="422"/>
      <c r="G871" s="422"/>
      <c r="H871" s="422"/>
      <c r="I871" s="422"/>
      <c r="J871" s="422"/>
      <c r="K871" s="422"/>
      <c r="L871" s="422"/>
      <c r="M871" s="422"/>
      <c r="N871" s="422"/>
      <c r="O871" s="422"/>
      <c r="P871" s="422"/>
      <c r="Q871" s="422"/>
      <c r="R871" s="422"/>
      <c r="S871" s="422"/>
      <c r="T871" s="422"/>
      <c r="U871" s="422"/>
      <c r="V871" s="422"/>
      <c r="W871" s="422"/>
      <c r="X871" s="422"/>
      <c r="Y871" s="422"/>
      <c r="Z871" s="422"/>
    </row>
    <row r="872" spans="1:26" ht="15" thickBot="1">
      <c r="A872" s="422"/>
      <c r="B872" s="422"/>
      <c r="C872" s="422"/>
      <c r="D872" s="422"/>
      <c r="E872" s="422"/>
      <c r="F872" s="422"/>
      <c r="G872" s="422"/>
      <c r="H872" s="422"/>
      <c r="I872" s="422"/>
      <c r="J872" s="422"/>
      <c r="K872" s="422"/>
      <c r="L872" s="422"/>
      <c r="M872" s="422"/>
      <c r="N872" s="422"/>
      <c r="O872" s="422"/>
      <c r="P872" s="422"/>
      <c r="Q872" s="422"/>
      <c r="R872" s="422"/>
      <c r="S872" s="422"/>
      <c r="T872" s="422"/>
      <c r="U872" s="422"/>
      <c r="V872" s="422"/>
      <c r="W872" s="422"/>
      <c r="X872" s="422"/>
      <c r="Y872" s="422"/>
      <c r="Z872" s="422"/>
    </row>
    <row r="873" spans="1:26" ht="15" thickBot="1">
      <c r="A873" s="422"/>
      <c r="B873" s="422"/>
      <c r="C873" s="422"/>
      <c r="D873" s="422"/>
      <c r="E873" s="422"/>
      <c r="F873" s="422"/>
      <c r="G873" s="422"/>
      <c r="H873" s="422"/>
      <c r="I873" s="422"/>
      <c r="J873" s="422"/>
      <c r="K873" s="422"/>
      <c r="L873" s="422"/>
      <c r="M873" s="422"/>
      <c r="N873" s="422"/>
      <c r="O873" s="422"/>
      <c r="P873" s="422"/>
      <c r="Q873" s="422"/>
      <c r="R873" s="422"/>
      <c r="S873" s="422"/>
      <c r="T873" s="422"/>
      <c r="U873" s="422"/>
      <c r="V873" s="422"/>
      <c r="W873" s="422"/>
      <c r="X873" s="422"/>
      <c r="Y873" s="422"/>
      <c r="Z873" s="422"/>
    </row>
    <row r="874" spans="1:26" ht="15" thickBot="1">
      <c r="A874" s="422"/>
      <c r="B874" s="422"/>
      <c r="C874" s="422"/>
      <c r="D874" s="422"/>
      <c r="E874" s="422"/>
      <c r="F874" s="422"/>
      <c r="G874" s="422"/>
      <c r="H874" s="422"/>
      <c r="I874" s="422"/>
      <c r="J874" s="422"/>
      <c r="K874" s="422"/>
      <c r="L874" s="422"/>
      <c r="M874" s="422"/>
      <c r="N874" s="422"/>
      <c r="O874" s="422"/>
      <c r="P874" s="422"/>
      <c r="Q874" s="422"/>
      <c r="R874" s="422"/>
      <c r="S874" s="422"/>
      <c r="T874" s="422"/>
      <c r="U874" s="422"/>
      <c r="V874" s="422"/>
      <c r="W874" s="422"/>
      <c r="X874" s="422"/>
      <c r="Y874" s="422"/>
      <c r="Z874" s="422"/>
    </row>
    <row r="875" spans="1:26" ht="15" thickBot="1">
      <c r="A875" s="422"/>
      <c r="B875" s="422"/>
      <c r="C875" s="422"/>
      <c r="D875" s="422"/>
      <c r="E875" s="422"/>
      <c r="F875" s="422"/>
      <c r="G875" s="422"/>
      <c r="H875" s="422"/>
      <c r="I875" s="422"/>
      <c r="J875" s="422"/>
      <c r="K875" s="422"/>
      <c r="L875" s="422"/>
      <c r="M875" s="422"/>
      <c r="N875" s="422"/>
      <c r="O875" s="422"/>
      <c r="P875" s="422"/>
      <c r="Q875" s="422"/>
      <c r="R875" s="422"/>
      <c r="S875" s="422"/>
      <c r="T875" s="422"/>
      <c r="U875" s="422"/>
      <c r="V875" s="422"/>
      <c r="W875" s="422"/>
      <c r="X875" s="422"/>
      <c r="Y875" s="422"/>
      <c r="Z875" s="422"/>
    </row>
    <row r="876" spans="1:26" ht="15" thickBot="1">
      <c r="A876" s="422"/>
      <c r="B876" s="422"/>
      <c r="C876" s="422"/>
      <c r="D876" s="422"/>
      <c r="E876" s="422"/>
      <c r="F876" s="422"/>
      <c r="G876" s="422"/>
      <c r="H876" s="422"/>
      <c r="I876" s="422"/>
      <c r="J876" s="422"/>
      <c r="K876" s="422"/>
      <c r="L876" s="422"/>
      <c r="M876" s="422"/>
      <c r="N876" s="422"/>
      <c r="O876" s="422"/>
      <c r="P876" s="422"/>
      <c r="Q876" s="422"/>
      <c r="R876" s="422"/>
      <c r="S876" s="422"/>
      <c r="T876" s="422"/>
      <c r="U876" s="422"/>
      <c r="V876" s="422"/>
      <c r="W876" s="422"/>
      <c r="X876" s="422"/>
      <c r="Y876" s="422"/>
      <c r="Z876" s="422"/>
    </row>
    <row r="877" spans="1:26" ht="15" thickBot="1">
      <c r="A877" s="422"/>
      <c r="B877" s="422"/>
      <c r="C877" s="422"/>
      <c r="D877" s="422"/>
      <c r="E877" s="422"/>
      <c r="F877" s="422"/>
      <c r="G877" s="422"/>
      <c r="H877" s="422"/>
      <c r="I877" s="422"/>
      <c r="J877" s="422"/>
      <c r="K877" s="422"/>
      <c r="L877" s="422"/>
      <c r="M877" s="422"/>
      <c r="N877" s="422"/>
      <c r="O877" s="422"/>
      <c r="P877" s="422"/>
      <c r="Q877" s="422"/>
      <c r="R877" s="422"/>
      <c r="S877" s="422"/>
      <c r="T877" s="422"/>
      <c r="U877" s="422"/>
      <c r="V877" s="422"/>
      <c r="W877" s="422"/>
      <c r="X877" s="422"/>
      <c r="Y877" s="422"/>
      <c r="Z877" s="422"/>
    </row>
    <row r="878" spans="1:26" ht="15" thickBot="1">
      <c r="A878" s="422"/>
      <c r="B878" s="422"/>
      <c r="C878" s="422"/>
      <c r="D878" s="422"/>
      <c r="E878" s="422"/>
      <c r="F878" s="422"/>
      <c r="G878" s="422"/>
      <c r="H878" s="422"/>
      <c r="I878" s="422"/>
      <c r="J878" s="422"/>
      <c r="K878" s="422"/>
      <c r="L878" s="422"/>
      <c r="M878" s="422"/>
      <c r="N878" s="422"/>
      <c r="O878" s="422"/>
      <c r="P878" s="422"/>
      <c r="Q878" s="422"/>
      <c r="R878" s="422"/>
      <c r="S878" s="422"/>
      <c r="T878" s="422"/>
      <c r="U878" s="422"/>
      <c r="V878" s="422"/>
      <c r="W878" s="422"/>
      <c r="X878" s="422"/>
      <c r="Y878" s="422"/>
      <c r="Z878" s="422"/>
    </row>
    <row r="879" spans="1:26" ht="15" thickBot="1">
      <c r="A879" s="422"/>
      <c r="B879" s="422"/>
      <c r="C879" s="422"/>
      <c r="D879" s="422"/>
      <c r="E879" s="422"/>
      <c r="F879" s="422"/>
      <c r="G879" s="422"/>
      <c r="H879" s="422"/>
      <c r="I879" s="422"/>
      <c r="J879" s="422"/>
      <c r="K879" s="422"/>
      <c r="L879" s="422"/>
      <c r="M879" s="422"/>
      <c r="N879" s="422"/>
      <c r="O879" s="422"/>
      <c r="P879" s="422"/>
      <c r="Q879" s="422"/>
      <c r="R879" s="422"/>
      <c r="S879" s="422"/>
      <c r="T879" s="422"/>
      <c r="U879" s="422"/>
      <c r="V879" s="422"/>
      <c r="W879" s="422"/>
      <c r="X879" s="422"/>
      <c r="Y879" s="422"/>
      <c r="Z879" s="422"/>
    </row>
    <row r="880" spans="1:26" ht="15" thickBot="1">
      <c r="A880" s="422"/>
      <c r="B880" s="422"/>
      <c r="C880" s="422"/>
      <c r="D880" s="422"/>
      <c r="E880" s="422"/>
      <c r="F880" s="422"/>
      <c r="G880" s="422"/>
      <c r="H880" s="422"/>
      <c r="I880" s="422"/>
      <c r="J880" s="422"/>
      <c r="K880" s="422"/>
      <c r="L880" s="422"/>
      <c r="M880" s="422"/>
      <c r="N880" s="422"/>
      <c r="O880" s="422"/>
      <c r="P880" s="422"/>
      <c r="Q880" s="422"/>
      <c r="R880" s="422"/>
      <c r="S880" s="422"/>
      <c r="T880" s="422"/>
      <c r="U880" s="422"/>
      <c r="V880" s="422"/>
      <c r="W880" s="422"/>
      <c r="X880" s="422"/>
      <c r="Y880" s="422"/>
      <c r="Z880" s="422"/>
    </row>
    <row r="881" spans="1:26" ht="15" thickBot="1">
      <c r="A881" s="422"/>
      <c r="B881" s="422"/>
      <c r="C881" s="422"/>
      <c r="D881" s="422"/>
      <c r="E881" s="422"/>
      <c r="F881" s="422"/>
      <c r="G881" s="422"/>
      <c r="H881" s="422"/>
      <c r="I881" s="422"/>
      <c r="J881" s="422"/>
      <c r="K881" s="422"/>
      <c r="L881" s="422"/>
      <c r="M881" s="422"/>
      <c r="N881" s="422"/>
      <c r="O881" s="422"/>
      <c r="P881" s="422"/>
      <c r="Q881" s="422"/>
      <c r="R881" s="422"/>
      <c r="S881" s="422"/>
      <c r="T881" s="422"/>
      <c r="U881" s="422"/>
      <c r="V881" s="422"/>
      <c r="W881" s="422"/>
      <c r="X881" s="422"/>
      <c r="Y881" s="422"/>
      <c r="Z881" s="422"/>
    </row>
    <row r="882" spans="1:26" ht="15" thickBot="1">
      <c r="A882" s="422"/>
      <c r="B882" s="422"/>
      <c r="C882" s="422"/>
      <c r="D882" s="422"/>
      <c r="E882" s="422"/>
      <c r="F882" s="422"/>
      <c r="G882" s="422"/>
      <c r="H882" s="422"/>
      <c r="I882" s="422"/>
      <c r="J882" s="422"/>
      <c r="K882" s="422"/>
      <c r="L882" s="422"/>
      <c r="M882" s="422"/>
      <c r="N882" s="422"/>
      <c r="O882" s="422"/>
      <c r="P882" s="422"/>
      <c r="Q882" s="422"/>
      <c r="R882" s="422"/>
      <c r="S882" s="422"/>
      <c r="T882" s="422"/>
      <c r="U882" s="422"/>
      <c r="V882" s="422"/>
      <c r="W882" s="422"/>
      <c r="X882" s="422"/>
      <c r="Y882" s="422"/>
      <c r="Z882" s="422"/>
    </row>
    <row r="883" spans="1:26" ht="15" thickBot="1">
      <c r="A883" s="422"/>
      <c r="B883" s="422"/>
      <c r="C883" s="422"/>
      <c r="D883" s="422"/>
      <c r="E883" s="422"/>
      <c r="F883" s="422"/>
      <c r="G883" s="422"/>
      <c r="H883" s="422"/>
      <c r="I883" s="422"/>
      <c r="J883" s="422"/>
      <c r="K883" s="422"/>
      <c r="L883" s="422"/>
      <c r="M883" s="422"/>
      <c r="N883" s="422"/>
      <c r="O883" s="422"/>
      <c r="P883" s="422"/>
      <c r="Q883" s="422"/>
      <c r="R883" s="422"/>
      <c r="S883" s="422"/>
      <c r="T883" s="422"/>
      <c r="U883" s="422"/>
      <c r="V883" s="422"/>
      <c r="W883" s="422"/>
      <c r="X883" s="422"/>
      <c r="Y883" s="422"/>
      <c r="Z883" s="422"/>
    </row>
    <row r="884" spans="1:26" ht="15" thickBot="1">
      <c r="A884" s="422"/>
      <c r="B884" s="422"/>
      <c r="C884" s="422"/>
      <c r="D884" s="422"/>
      <c r="E884" s="422"/>
      <c r="F884" s="422"/>
      <c r="G884" s="422"/>
      <c r="H884" s="422"/>
      <c r="I884" s="422"/>
      <c r="J884" s="422"/>
      <c r="K884" s="422"/>
      <c r="L884" s="422"/>
      <c r="M884" s="422"/>
      <c r="N884" s="422"/>
      <c r="O884" s="422"/>
      <c r="P884" s="422"/>
      <c r="Q884" s="422"/>
      <c r="R884" s="422"/>
      <c r="S884" s="422"/>
      <c r="T884" s="422"/>
      <c r="U884" s="422"/>
      <c r="V884" s="422"/>
      <c r="W884" s="422"/>
      <c r="X884" s="422"/>
      <c r="Y884" s="422"/>
      <c r="Z884" s="422"/>
    </row>
    <row r="885" spans="1:26" ht="15" thickBot="1">
      <c r="A885" s="422"/>
      <c r="B885" s="422"/>
      <c r="C885" s="422"/>
      <c r="D885" s="422"/>
      <c r="E885" s="422"/>
      <c r="F885" s="422"/>
      <c r="G885" s="422"/>
      <c r="H885" s="422"/>
      <c r="I885" s="422"/>
      <c r="J885" s="422"/>
      <c r="K885" s="422"/>
      <c r="L885" s="422"/>
      <c r="M885" s="422"/>
      <c r="N885" s="422"/>
      <c r="O885" s="422"/>
      <c r="P885" s="422"/>
      <c r="Q885" s="422"/>
      <c r="R885" s="422"/>
      <c r="S885" s="422"/>
      <c r="T885" s="422"/>
      <c r="U885" s="422"/>
      <c r="V885" s="422"/>
      <c r="W885" s="422"/>
      <c r="X885" s="422"/>
      <c r="Y885" s="422"/>
      <c r="Z885" s="422"/>
    </row>
    <row r="886" spans="1:26" ht="15" thickBot="1">
      <c r="A886" s="422"/>
      <c r="B886" s="422"/>
      <c r="C886" s="422"/>
      <c r="D886" s="422"/>
      <c r="E886" s="422"/>
      <c r="F886" s="422"/>
      <c r="G886" s="422"/>
      <c r="H886" s="422"/>
      <c r="I886" s="422"/>
      <c r="J886" s="422"/>
      <c r="K886" s="422"/>
      <c r="L886" s="422"/>
      <c r="M886" s="422"/>
      <c r="N886" s="422"/>
      <c r="O886" s="422"/>
      <c r="P886" s="422"/>
      <c r="Q886" s="422"/>
      <c r="R886" s="422"/>
      <c r="S886" s="422"/>
      <c r="T886" s="422"/>
      <c r="U886" s="422"/>
      <c r="V886" s="422"/>
      <c r="W886" s="422"/>
      <c r="X886" s="422"/>
      <c r="Y886" s="422"/>
      <c r="Z886" s="422"/>
    </row>
    <row r="887" spans="1:26" ht="15" thickBot="1">
      <c r="A887" s="422"/>
      <c r="B887" s="422"/>
      <c r="C887" s="422"/>
      <c r="D887" s="422"/>
      <c r="E887" s="422"/>
      <c r="F887" s="422"/>
      <c r="G887" s="422"/>
      <c r="H887" s="422"/>
      <c r="I887" s="422"/>
      <c r="J887" s="422"/>
      <c r="K887" s="422"/>
      <c r="L887" s="422"/>
      <c r="M887" s="422"/>
      <c r="N887" s="422"/>
      <c r="O887" s="422"/>
      <c r="P887" s="422"/>
      <c r="Q887" s="422"/>
      <c r="R887" s="422"/>
      <c r="S887" s="422"/>
      <c r="T887" s="422"/>
      <c r="U887" s="422"/>
      <c r="V887" s="422"/>
      <c r="W887" s="422"/>
      <c r="X887" s="422"/>
      <c r="Y887" s="422"/>
      <c r="Z887" s="422"/>
    </row>
    <row r="888" spans="1:26" ht="15" thickBot="1">
      <c r="A888" s="422"/>
      <c r="B888" s="422"/>
      <c r="C888" s="422"/>
      <c r="D888" s="422"/>
      <c r="E888" s="422"/>
      <c r="F888" s="422"/>
      <c r="G888" s="422"/>
      <c r="H888" s="422"/>
      <c r="I888" s="422"/>
      <c r="J888" s="422"/>
      <c r="K888" s="422"/>
      <c r="L888" s="422"/>
      <c r="M888" s="422"/>
      <c r="N888" s="422"/>
      <c r="O888" s="422"/>
      <c r="P888" s="422"/>
      <c r="Q888" s="422"/>
      <c r="R888" s="422"/>
      <c r="S888" s="422"/>
      <c r="T888" s="422"/>
      <c r="U888" s="422"/>
      <c r="V888" s="422"/>
      <c r="W888" s="422"/>
      <c r="X888" s="422"/>
      <c r="Y888" s="422"/>
      <c r="Z888" s="422"/>
    </row>
    <row r="889" spans="1:26" ht="15" thickBot="1">
      <c r="A889" s="422"/>
      <c r="B889" s="422"/>
      <c r="C889" s="422"/>
      <c r="D889" s="422"/>
      <c r="E889" s="422"/>
      <c r="F889" s="422"/>
      <c r="G889" s="422"/>
      <c r="H889" s="422"/>
      <c r="I889" s="422"/>
      <c r="J889" s="422"/>
      <c r="K889" s="422"/>
      <c r="L889" s="422"/>
      <c r="M889" s="422"/>
      <c r="N889" s="422"/>
      <c r="O889" s="422"/>
      <c r="P889" s="422"/>
      <c r="Q889" s="422"/>
      <c r="R889" s="422"/>
      <c r="S889" s="422"/>
      <c r="T889" s="422"/>
      <c r="U889" s="422"/>
      <c r="V889" s="422"/>
      <c r="W889" s="422"/>
      <c r="X889" s="422"/>
      <c r="Y889" s="422"/>
      <c r="Z889" s="422"/>
    </row>
    <row r="890" spans="1:26" ht="15" thickBot="1">
      <c r="A890" s="422"/>
      <c r="B890" s="422"/>
      <c r="C890" s="422"/>
      <c r="D890" s="422"/>
      <c r="E890" s="422"/>
      <c r="F890" s="422"/>
      <c r="G890" s="422"/>
      <c r="H890" s="422"/>
      <c r="I890" s="422"/>
      <c r="J890" s="422"/>
      <c r="K890" s="422"/>
      <c r="L890" s="422"/>
      <c r="M890" s="422"/>
      <c r="N890" s="422"/>
      <c r="O890" s="422"/>
      <c r="P890" s="422"/>
      <c r="Q890" s="422"/>
      <c r="R890" s="422"/>
      <c r="S890" s="422"/>
      <c r="T890" s="422"/>
      <c r="U890" s="422"/>
      <c r="V890" s="422"/>
      <c r="W890" s="422"/>
      <c r="X890" s="422"/>
      <c r="Y890" s="422"/>
      <c r="Z890" s="422"/>
    </row>
    <row r="891" spans="1:26" ht="15" thickBot="1">
      <c r="A891" s="422"/>
      <c r="B891" s="422"/>
      <c r="C891" s="422"/>
      <c r="D891" s="422"/>
      <c r="E891" s="422"/>
      <c r="F891" s="422"/>
      <c r="G891" s="422"/>
      <c r="H891" s="422"/>
      <c r="I891" s="422"/>
      <c r="J891" s="422"/>
      <c r="K891" s="422"/>
      <c r="L891" s="422"/>
      <c r="M891" s="422"/>
      <c r="N891" s="422"/>
      <c r="O891" s="422"/>
      <c r="P891" s="422"/>
      <c r="Q891" s="422"/>
      <c r="R891" s="422"/>
      <c r="S891" s="422"/>
      <c r="T891" s="422"/>
      <c r="U891" s="422"/>
      <c r="V891" s="422"/>
      <c r="W891" s="422"/>
      <c r="X891" s="422"/>
      <c r="Y891" s="422"/>
      <c r="Z891" s="422"/>
    </row>
    <row r="892" spans="1:26" ht="15" thickBot="1">
      <c r="A892" s="422"/>
      <c r="B892" s="422"/>
      <c r="C892" s="422"/>
      <c r="D892" s="422"/>
      <c r="E892" s="422"/>
      <c r="F892" s="422"/>
      <c r="G892" s="422"/>
      <c r="H892" s="422"/>
      <c r="I892" s="422"/>
      <c r="J892" s="422"/>
      <c r="K892" s="422"/>
      <c r="L892" s="422"/>
      <c r="M892" s="422"/>
      <c r="N892" s="422"/>
      <c r="O892" s="422"/>
      <c r="P892" s="422"/>
      <c r="Q892" s="422"/>
      <c r="R892" s="422"/>
      <c r="S892" s="422"/>
      <c r="T892" s="422"/>
      <c r="U892" s="422"/>
      <c r="V892" s="422"/>
      <c r="W892" s="422"/>
      <c r="X892" s="422"/>
      <c r="Y892" s="422"/>
      <c r="Z892" s="422"/>
    </row>
    <row r="893" spans="1:26" ht="15" thickBot="1">
      <c r="A893" s="422"/>
      <c r="B893" s="422"/>
      <c r="C893" s="422"/>
      <c r="D893" s="422"/>
      <c r="E893" s="422"/>
      <c r="F893" s="422"/>
      <c r="G893" s="422"/>
      <c r="H893" s="422"/>
      <c r="I893" s="422"/>
      <c r="J893" s="422"/>
      <c r="K893" s="422"/>
      <c r="L893" s="422"/>
      <c r="M893" s="422"/>
      <c r="N893" s="422"/>
      <c r="O893" s="422"/>
      <c r="P893" s="422"/>
      <c r="Q893" s="422"/>
      <c r="R893" s="422"/>
      <c r="S893" s="422"/>
      <c r="T893" s="422"/>
      <c r="U893" s="422"/>
      <c r="V893" s="422"/>
      <c r="W893" s="422"/>
      <c r="X893" s="422"/>
      <c r="Y893" s="422"/>
      <c r="Z893" s="422"/>
    </row>
    <row r="894" spans="1:26" ht="15" thickBot="1">
      <c r="A894" s="422"/>
      <c r="B894" s="422"/>
      <c r="C894" s="422"/>
      <c r="D894" s="422"/>
      <c r="E894" s="422"/>
      <c r="F894" s="422"/>
      <c r="G894" s="422"/>
      <c r="H894" s="422"/>
      <c r="I894" s="422"/>
      <c r="J894" s="422"/>
      <c r="K894" s="422"/>
      <c r="L894" s="422"/>
      <c r="M894" s="422"/>
      <c r="N894" s="422"/>
      <c r="O894" s="422"/>
      <c r="P894" s="422"/>
      <c r="Q894" s="422"/>
      <c r="R894" s="422"/>
      <c r="S894" s="422"/>
      <c r="T894" s="422"/>
      <c r="U894" s="422"/>
      <c r="V894" s="422"/>
      <c r="W894" s="422"/>
      <c r="X894" s="422"/>
      <c r="Y894" s="422"/>
      <c r="Z894" s="422"/>
    </row>
    <row r="895" spans="1:26" ht="15" thickBot="1">
      <c r="A895" s="422"/>
      <c r="B895" s="422"/>
      <c r="C895" s="422"/>
      <c r="D895" s="422"/>
      <c r="E895" s="422"/>
      <c r="F895" s="422"/>
      <c r="G895" s="422"/>
      <c r="H895" s="422"/>
      <c r="I895" s="422"/>
      <c r="J895" s="422"/>
      <c r="K895" s="422"/>
      <c r="L895" s="422"/>
      <c r="M895" s="422"/>
      <c r="N895" s="422"/>
      <c r="O895" s="422"/>
      <c r="P895" s="422"/>
      <c r="Q895" s="422"/>
      <c r="R895" s="422"/>
      <c r="S895" s="422"/>
      <c r="T895" s="422"/>
      <c r="U895" s="422"/>
      <c r="V895" s="422"/>
      <c r="W895" s="422"/>
      <c r="X895" s="422"/>
      <c r="Y895" s="422"/>
      <c r="Z895" s="422"/>
    </row>
    <row r="896" spans="1:26" ht="15" thickBot="1">
      <c r="A896" s="422"/>
      <c r="B896" s="422"/>
      <c r="C896" s="422"/>
      <c r="D896" s="422"/>
      <c r="E896" s="422"/>
      <c r="F896" s="422"/>
      <c r="G896" s="422"/>
      <c r="H896" s="422"/>
      <c r="I896" s="422"/>
      <c r="J896" s="422"/>
      <c r="K896" s="422"/>
      <c r="L896" s="422"/>
      <c r="M896" s="422"/>
      <c r="N896" s="422"/>
      <c r="O896" s="422"/>
      <c r="P896" s="422"/>
      <c r="Q896" s="422"/>
      <c r="R896" s="422"/>
      <c r="S896" s="422"/>
      <c r="T896" s="422"/>
      <c r="U896" s="422"/>
      <c r="V896" s="422"/>
      <c r="W896" s="422"/>
      <c r="X896" s="422"/>
      <c r="Y896" s="422"/>
      <c r="Z896" s="422"/>
    </row>
    <row r="897" spans="1:26" ht="15" thickBot="1">
      <c r="A897" s="422"/>
      <c r="B897" s="422"/>
      <c r="C897" s="422"/>
      <c r="D897" s="422"/>
      <c r="E897" s="422"/>
      <c r="F897" s="422"/>
      <c r="G897" s="422"/>
      <c r="H897" s="422"/>
      <c r="I897" s="422"/>
      <c r="J897" s="422"/>
      <c r="K897" s="422"/>
      <c r="L897" s="422"/>
      <c r="M897" s="422"/>
      <c r="N897" s="422"/>
      <c r="O897" s="422"/>
      <c r="P897" s="422"/>
      <c r="Q897" s="422"/>
      <c r="R897" s="422"/>
      <c r="S897" s="422"/>
      <c r="T897" s="422"/>
      <c r="U897" s="422"/>
      <c r="V897" s="422"/>
      <c r="W897" s="422"/>
      <c r="X897" s="422"/>
      <c r="Y897" s="422"/>
      <c r="Z897" s="422"/>
    </row>
    <row r="898" spans="1:26" ht="15" thickBot="1">
      <c r="A898" s="422"/>
      <c r="B898" s="422"/>
      <c r="C898" s="422"/>
      <c r="D898" s="422"/>
      <c r="E898" s="422"/>
      <c r="F898" s="422"/>
      <c r="G898" s="422"/>
      <c r="H898" s="422"/>
      <c r="I898" s="422"/>
      <c r="J898" s="422"/>
      <c r="K898" s="422"/>
      <c r="L898" s="422"/>
      <c r="M898" s="422"/>
      <c r="N898" s="422"/>
      <c r="O898" s="422"/>
      <c r="P898" s="422"/>
      <c r="Q898" s="422"/>
      <c r="R898" s="422"/>
      <c r="S898" s="422"/>
      <c r="T898" s="422"/>
      <c r="U898" s="422"/>
      <c r="V898" s="422"/>
      <c r="W898" s="422"/>
      <c r="X898" s="422"/>
      <c r="Y898" s="422"/>
      <c r="Z898" s="422"/>
    </row>
    <row r="899" spans="1:26" ht="15" thickBot="1">
      <c r="A899" s="422"/>
      <c r="B899" s="422"/>
      <c r="C899" s="422"/>
      <c r="D899" s="422"/>
      <c r="E899" s="422"/>
      <c r="F899" s="422"/>
      <c r="G899" s="422"/>
      <c r="H899" s="422"/>
      <c r="I899" s="422"/>
      <c r="J899" s="422"/>
      <c r="K899" s="422"/>
      <c r="L899" s="422"/>
      <c r="M899" s="422"/>
      <c r="N899" s="422"/>
      <c r="O899" s="422"/>
      <c r="P899" s="422"/>
      <c r="Q899" s="422"/>
      <c r="R899" s="422"/>
      <c r="S899" s="422"/>
      <c r="T899" s="422"/>
      <c r="U899" s="422"/>
      <c r="V899" s="422"/>
      <c r="W899" s="422"/>
      <c r="X899" s="422"/>
      <c r="Y899" s="422"/>
      <c r="Z899" s="422"/>
    </row>
    <row r="900" spans="1:26" ht="15" thickBot="1">
      <c r="A900" s="422"/>
      <c r="B900" s="422"/>
      <c r="C900" s="422"/>
      <c r="D900" s="422"/>
      <c r="E900" s="422"/>
      <c r="F900" s="422"/>
      <c r="G900" s="422"/>
      <c r="H900" s="422"/>
      <c r="I900" s="422"/>
      <c r="J900" s="422"/>
      <c r="K900" s="422"/>
      <c r="L900" s="422"/>
      <c r="M900" s="422"/>
      <c r="N900" s="422"/>
      <c r="O900" s="422"/>
      <c r="P900" s="422"/>
      <c r="Q900" s="422"/>
      <c r="R900" s="422"/>
      <c r="S900" s="422"/>
      <c r="T900" s="422"/>
      <c r="U900" s="422"/>
      <c r="V900" s="422"/>
      <c r="W900" s="422"/>
      <c r="X900" s="422"/>
      <c r="Y900" s="422"/>
      <c r="Z900" s="422"/>
    </row>
    <row r="901" spans="1:26" ht="15" thickBot="1">
      <c r="A901" s="422"/>
      <c r="B901" s="422"/>
      <c r="C901" s="422"/>
      <c r="D901" s="422"/>
      <c r="E901" s="422"/>
      <c r="F901" s="422"/>
      <c r="G901" s="422"/>
      <c r="H901" s="422"/>
      <c r="I901" s="422"/>
      <c r="J901" s="422"/>
      <c r="K901" s="422"/>
      <c r="L901" s="422"/>
      <c r="M901" s="422"/>
      <c r="N901" s="422"/>
      <c r="O901" s="422"/>
      <c r="P901" s="422"/>
      <c r="Q901" s="422"/>
      <c r="R901" s="422"/>
      <c r="S901" s="422"/>
      <c r="T901" s="422"/>
      <c r="U901" s="422"/>
      <c r="V901" s="422"/>
      <c r="W901" s="422"/>
      <c r="X901" s="422"/>
      <c r="Y901" s="422"/>
      <c r="Z901" s="422"/>
    </row>
    <row r="902" spans="1:26" ht="15" thickBot="1">
      <c r="A902" s="422"/>
      <c r="B902" s="422"/>
      <c r="C902" s="422"/>
      <c r="D902" s="422"/>
      <c r="E902" s="422"/>
      <c r="F902" s="422"/>
      <c r="G902" s="422"/>
      <c r="H902" s="422"/>
      <c r="I902" s="422"/>
      <c r="J902" s="422"/>
      <c r="K902" s="422"/>
      <c r="L902" s="422"/>
      <c r="M902" s="422"/>
      <c r="N902" s="422"/>
      <c r="O902" s="422"/>
      <c r="P902" s="422"/>
      <c r="Q902" s="422"/>
      <c r="R902" s="422"/>
      <c r="S902" s="422"/>
      <c r="T902" s="422"/>
      <c r="U902" s="422"/>
      <c r="V902" s="422"/>
      <c r="W902" s="422"/>
      <c r="X902" s="422"/>
      <c r="Y902" s="422"/>
      <c r="Z902" s="422"/>
    </row>
    <row r="903" spans="1:26" ht="15" thickBot="1">
      <c r="A903" s="422"/>
      <c r="B903" s="422"/>
      <c r="C903" s="422"/>
      <c r="D903" s="422"/>
      <c r="E903" s="422"/>
      <c r="F903" s="422"/>
      <c r="G903" s="422"/>
      <c r="H903" s="422"/>
      <c r="I903" s="422"/>
      <c r="J903" s="422"/>
      <c r="K903" s="422"/>
      <c r="L903" s="422"/>
      <c r="M903" s="422"/>
      <c r="N903" s="422"/>
      <c r="O903" s="422"/>
      <c r="P903" s="422"/>
      <c r="Q903" s="422"/>
      <c r="R903" s="422"/>
      <c r="S903" s="422"/>
      <c r="T903" s="422"/>
      <c r="U903" s="422"/>
      <c r="V903" s="422"/>
      <c r="W903" s="422"/>
      <c r="X903" s="422"/>
      <c r="Y903" s="422"/>
      <c r="Z903" s="422"/>
    </row>
    <row r="904" spans="1:26" ht="15" thickBot="1">
      <c r="A904" s="422"/>
      <c r="B904" s="422"/>
      <c r="C904" s="422"/>
      <c r="D904" s="422"/>
      <c r="E904" s="422"/>
      <c r="F904" s="422"/>
      <c r="G904" s="422"/>
      <c r="H904" s="422"/>
      <c r="I904" s="422"/>
      <c r="J904" s="422"/>
      <c r="K904" s="422"/>
      <c r="L904" s="422"/>
      <c r="M904" s="422"/>
      <c r="N904" s="422"/>
      <c r="O904" s="422"/>
      <c r="P904" s="422"/>
      <c r="Q904" s="422"/>
      <c r="R904" s="422"/>
      <c r="S904" s="422"/>
      <c r="T904" s="422"/>
      <c r="U904" s="422"/>
      <c r="V904" s="422"/>
      <c r="W904" s="422"/>
      <c r="X904" s="422"/>
      <c r="Y904" s="422"/>
      <c r="Z904" s="422"/>
    </row>
    <row r="905" spans="1:26" ht="15" thickBot="1">
      <c r="A905" s="422"/>
      <c r="B905" s="422"/>
      <c r="C905" s="422"/>
      <c r="D905" s="422"/>
      <c r="E905" s="422"/>
      <c r="F905" s="422"/>
      <c r="G905" s="422"/>
      <c r="H905" s="422"/>
      <c r="I905" s="422"/>
      <c r="J905" s="422"/>
      <c r="K905" s="422"/>
      <c r="L905" s="422"/>
      <c r="M905" s="422"/>
      <c r="N905" s="422"/>
      <c r="O905" s="422"/>
      <c r="P905" s="422"/>
      <c r="Q905" s="422"/>
      <c r="R905" s="422"/>
      <c r="S905" s="422"/>
      <c r="T905" s="422"/>
      <c r="U905" s="422"/>
      <c r="V905" s="422"/>
      <c r="W905" s="422"/>
      <c r="X905" s="422"/>
      <c r="Y905" s="422"/>
      <c r="Z905" s="422"/>
    </row>
    <row r="906" spans="1:26" ht="15" thickBot="1">
      <c r="A906" s="422"/>
      <c r="B906" s="422"/>
      <c r="C906" s="422"/>
      <c r="D906" s="422"/>
      <c r="E906" s="422"/>
      <c r="F906" s="422"/>
      <c r="G906" s="422"/>
      <c r="H906" s="422"/>
      <c r="I906" s="422"/>
      <c r="J906" s="422"/>
      <c r="K906" s="422"/>
      <c r="L906" s="422"/>
      <c r="M906" s="422"/>
      <c r="N906" s="422"/>
      <c r="O906" s="422"/>
      <c r="P906" s="422"/>
      <c r="Q906" s="422"/>
      <c r="R906" s="422"/>
      <c r="S906" s="422"/>
      <c r="T906" s="422"/>
      <c r="U906" s="422"/>
      <c r="V906" s="422"/>
      <c r="W906" s="422"/>
      <c r="X906" s="422"/>
      <c r="Y906" s="422"/>
      <c r="Z906" s="422"/>
    </row>
    <row r="907" spans="1:26" ht="15" thickBot="1">
      <c r="A907" s="422"/>
      <c r="B907" s="422"/>
      <c r="C907" s="422"/>
      <c r="D907" s="422"/>
      <c r="E907" s="422"/>
      <c r="F907" s="422"/>
      <c r="G907" s="422"/>
      <c r="H907" s="422"/>
      <c r="I907" s="422"/>
      <c r="J907" s="422"/>
      <c r="K907" s="422"/>
      <c r="L907" s="422"/>
      <c r="M907" s="422"/>
      <c r="N907" s="422"/>
      <c r="O907" s="422"/>
      <c r="P907" s="422"/>
      <c r="Q907" s="422"/>
      <c r="R907" s="422"/>
      <c r="S907" s="422"/>
      <c r="T907" s="422"/>
      <c r="U907" s="422"/>
      <c r="V907" s="422"/>
      <c r="W907" s="422"/>
      <c r="X907" s="422"/>
      <c r="Y907" s="422"/>
      <c r="Z907" s="422"/>
    </row>
    <row r="908" spans="1:26" ht="15" thickBot="1">
      <c r="A908" s="422"/>
      <c r="B908" s="422"/>
      <c r="C908" s="422"/>
      <c r="D908" s="422"/>
      <c r="E908" s="422"/>
      <c r="F908" s="422"/>
      <c r="G908" s="422"/>
      <c r="H908" s="422"/>
      <c r="I908" s="422"/>
      <c r="J908" s="422"/>
      <c r="K908" s="422"/>
      <c r="L908" s="422"/>
      <c r="M908" s="422"/>
      <c r="N908" s="422"/>
      <c r="O908" s="422"/>
      <c r="P908" s="422"/>
      <c r="Q908" s="422"/>
      <c r="R908" s="422"/>
      <c r="S908" s="422"/>
      <c r="T908" s="422"/>
      <c r="U908" s="422"/>
      <c r="V908" s="422"/>
      <c r="W908" s="422"/>
      <c r="X908" s="422"/>
      <c r="Y908" s="422"/>
      <c r="Z908" s="422"/>
    </row>
    <row r="909" spans="1:26" ht="15" thickBot="1">
      <c r="A909" s="422"/>
      <c r="B909" s="422"/>
      <c r="C909" s="422"/>
      <c r="D909" s="422"/>
      <c r="E909" s="422"/>
      <c r="F909" s="422"/>
      <c r="G909" s="422"/>
      <c r="H909" s="422"/>
      <c r="I909" s="422"/>
      <c r="J909" s="422"/>
      <c r="K909" s="422"/>
      <c r="L909" s="422"/>
      <c r="M909" s="422"/>
      <c r="N909" s="422"/>
      <c r="O909" s="422"/>
      <c r="P909" s="422"/>
      <c r="Q909" s="422"/>
      <c r="R909" s="422"/>
      <c r="S909" s="422"/>
      <c r="T909" s="422"/>
      <c r="U909" s="422"/>
      <c r="V909" s="422"/>
      <c r="W909" s="422"/>
      <c r="X909" s="422"/>
      <c r="Y909" s="422"/>
      <c r="Z909" s="422"/>
    </row>
    <row r="910" spans="1:26" ht="15" thickBot="1">
      <c r="A910" s="422"/>
      <c r="B910" s="422"/>
      <c r="C910" s="422"/>
      <c r="D910" s="422"/>
      <c r="E910" s="422"/>
      <c r="F910" s="422"/>
      <c r="G910" s="422"/>
      <c r="H910" s="422"/>
      <c r="I910" s="422"/>
      <c r="J910" s="422"/>
      <c r="K910" s="422"/>
      <c r="L910" s="422"/>
      <c r="M910" s="422"/>
      <c r="N910" s="422"/>
      <c r="O910" s="422"/>
      <c r="P910" s="422"/>
      <c r="Q910" s="422"/>
      <c r="R910" s="422"/>
      <c r="S910" s="422"/>
      <c r="T910" s="422"/>
      <c r="U910" s="422"/>
      <c r="V910" s="422"/>
      <c r="W910" s="422"/>
      <c r="X910" s="422"/>
      <c r="Y910" s="422"/>
      <c r="Z910" s="422"/>
    </row>
    <row r="911" spans="1:26" ht="15" thickBot="1">
      <c r="A911" s="422"/>
      <c r="B911" s="422"/>
      <c r="C911" s="422"/>
      <c r="D911" s="422"/>
      <c r="E911" s="422"/>
      <c r="F911" s="422"/>
      <c r="G911" s="422"/>
      <c r="H911" s="422"/>
      <c r="I911" s="422"/>
      <c r="J911" s="422"/>
      <c r="K911" s="422"/>
      <c r="L911" s="422"/>
      <c r="M911" s="422"/>
      <c r="N911" s="422"/>
      <c r="O911" s="422"/>
      <c r="P911" s="422"/>
      <c r="Q911" s="422"/>
      <c r="R911" s="422"/>
      <c r="S911" s="422"/>
      <c r="T911" s="422"/>
      <c r="U911" s="422"/>
      <c r="V911" s="422"/>
      <c r="W911" s="422"/>
      <c r="X911" s="422"/>
      <c r="Y911" s="422"/>
      <c r="Z911" s="422"/>
    </row>
    <row r="912" spans="1:26" ht="15" thickBot="1">
      <c r="A912" s="422"/>
      <c r="B912" s="422"/>
      <c r="C912" s="422"/>
      <c r="D912" s="422"/>
      <c r="E912" s="422"/>
      <c r="F912" s="422"/>
      <c r="G912" s="422"/>
      <c r="H912" s="422"/>
      <c r="I912" s="422"/>
      <c r="J912" s="422"/>
      <c r="K912" s="422"/>
      <c r="L912" s="422"/>
      <c r="M912" s="422"/>
      <c r="N912" s="422"/>
      <c r="O912" s="422"/>
      <c r="P912" s="422"/>
      <c r="Q912" s="422"/>
      <c r="R912" s="422"/>
      <c r="S912" s="422"/>
      <c r="T912" s="422"/>
      <c r="U912" s="422"/>
      <c r="V912" s="422"/>
      <c r="W912" s="422"/>
      <c r="X912" s="422"/>
      <c r="Y912" s="422"/>
      <c r="Z912" s="422"/>
    </row>
    <row r="913" spans="1:26" ht="15" thickBot="1">
      <c r="A913" s="422"/>
      <c r="B913" s="422"/>
      <c r="C913" s="422"/>
      <c r="D913" s="422"/>
      <c r="E913" s="422"/>
      <c r="F913" s="422"/>
      <c r="G913" s="422"/>
      <c r="H913" s="422"/>
      <c r="I913" s="422"/>
      <c r="J913" s="422"/>
      <c r="K913" s="422"/>
      <c r="L913" s="422"/>
      <c r="M913" s="422"/>
      <c r="N913" s="422"/>
      <c r="O913" s="422"/>
      <c r="P913" s="422"/>
      <c r="Q913" s="422"/>
      <c r="R913" s="422"/>
      <c r="S913" s="422"/>
      <c r="T913" s="422"/>
      <c r="U913" s="422"/>
      <c r="V913" s="422"/>
      <c r="W913" s="422"/>
      <c r="X913" s="422"/>
      <c r="Y913" s="422"/>
      <c r="Z913" s="422"/>
    </row>
    <row r="914" spans="1:26" ht="15" thickBot="1">
      <c r="A914" s="422"/>
      <c r="B914" s="422"/>
      <c r="C914" s="422"/>
      <c r="D914" s="422"/>
      <c r="E914" s="422"/>
      <c r="F914" s="422"/>
      <c r="G914" s="422"/>
      <c r="H914" s="422"/>
      <c r="I914" s="422"/>
      <c r="J914" s="422"/>
      <c r="K914" s="422"/>
      <c r="L914" s="422"/>
      <c r="M914" s="422"/>
      <c r="N914" s="422"/>
      <c r="O914" s="422"/>
      <c r="P914" s="422"/>
      <c r="Q914" s="422"/>
      <c r="R914" s="422"/>
      <c r="S914" s="422"/>
      <c r="T914" s="422"/>
      <c r="U914" s="422"/>
      <c r="V914" s="422"/>
      <c r="W914" s="422"/>
      <c r="X914" s="422"/>
      <c r="Y914" s="422"/>
      <c r="Z914" s="422"/>
    </row>
    <row r="915" spans="1:26" ht="15" thickBot="1">
      <c r="A915" s="422"/>
      <c r="B915" s="422"/>
      <c r="C915" s="422"/>
      <c r="D915" s="422"/>
      <c r="E915" s="422"/>
      <c r="F915" s="422"/>
      <c r="G915" s="422"/>
      <c r="H915" s="422"/>
      <c r="I915" s="422"/>
      <c r="J915" s="422"/>
      <c r="K915" s="422"/>
      <c r="L915" s="422"/>
      <c r="M915" s="422"/>
      <c r="N915" s="422"/>
      <c r="O915" s="422"/>
      <c r="P915" s="422"/>
      <c r="Q915" s="422"/>
      <c r="R915" s="422"/>
      <c r="S915" s="422"/>
      <c r="T915" s="422"/>
      <c r="U915" s="422"/>
      <c r="V915" s="422"/>
      <c r="W915" s="422"/>
      <c r="X915" s="422"/>
      <c r="Y915" s="422"/>
      <c r="Z915" s="422"/>
    </row>
    <row r="916" spans="1:26" ht="15" thickBot="1">
      <c r="A916" s="422"/>
      <c r="B916" s="422"/>
      <c r="C916" s="422"/>
      <c r="D916" s="422"/>
      <c r="E916" s="422"/>
      <c r="F916" s="422"/>
      <c r="G916" s="422"/>
      <c r="H916" s="422"/>
      <c r="I916" s="422"/>
      <c r="J916" s="422"/>
      <c r="K916" s="422"/>
      <c r="L916" s="422"/>
      <c r="M916" s="422"/>
      <c r="N916" s="422"/>
      <c r="O916" s="422"/>
      <c r="P916" s="422"/>
      <c r="Q916" s="422"/>
      <c r="R916" s="422"/>
      <c r="S916" s="422"/>
      <c r="T916" s="422"/>
      <c r="U916" s="422"/>
      <c r="V916" s="422"/>
      <c r="W916" s="422"/>
      <c r="X916" s="422"/>
      <c r="Y916" s="422"/>
      <c r="Z916" s="422"/>
    </row>
    <row r="917" spans="1:26" ht="15" thickBot="1">
      <c r="A917" s="422"/>
      <c r="B917" s="422"/>
      <c r="C917" s="422"/>
      <c r="D917" s="422"/>
      <c r="E917" s="422"/>
      <c r="F917" s="422"/>
      <c r="G917" s="422"/>
      <c r="H917" s="422"/>
      <c r="I917" s="422"/>
      <c r="J917" s="422"/>
      <c r="K917" s="422"/>
      <c r="L917" s="422"/>
      <c r="M917" s="422"/>
      <c r="N917" s="422"/>
      <c r="O917" s="422"/>
      <c r="P917" s="422"/>
      <c r="Q917" s="422"/>
      <c r="R917" s="422"/>
      <c r="S917" s="422"/>
      <c r="T917" s="422"/>
      <c r="U917" s="422"/>
      <c r="V917" s="422"/>
      <c r="W917" s="422"/>
      <c r="X917" s="422"/>
      <c r="Y917" s="422"/>
      <c r="Z917" s="422"/>
    </row>
    <row r="918" spans="1:26" ht="15" thickBot="1">
      <c r="A918" s="422"/>
      <c r="B918" s="422"/>
      <c r="C918" s="422"/>
      <c r="D918" s="422"/>
      <c r="E918" s="422"/>
      <c r="F918" s="422"/>
      <c r="G918" s="422"/>
      <c r="H918" s="422"/>
      <c r="I918" s="422"/>
      <c r="J918" s="422"/>
      <c r="K918" s="422"/>
      <c r="L918" s="422"/>
      <c r="M918" s="422"/>
      <c r="N918" s="422"/>
      <c r="O918" s="422"/>
      <c r="P918" s="422"/>
      <c r="Q918" s="422"/>
      <c r="R918" s="422"/>
      <c r="S918" s="422"/>
      <c r="T918" s="422"/>
      <c r="U918" s="422"/>
      <c r="V918" s="422"/>
      <c r="W918" s="422"/>
      <c r="X918" s="422"/>
      <c r="Y918" s="422"/>
      <c r="Z918" s="422"/>
    </row>
    <row r="919" spans="1:26" ht="15" thickBot="1">
      <c r="A919" s="422"/>
      <c r="B919" s="422"/>
      <c r="C919" s="422"/>
      <c r="D919" s="422"/>
      <c r="E919" s="422"/>
      <c r="F919" s="422"/>
      <c r="G919" s="422"/>
      <c r="H919" s="422"/>
      <c r="I919" s="422"/>
      <c r="J919" s="422"/>
      <c r="K919" s="422"/>
      <c r="L919" s="422"/>
      <c r="M919" s="422"/>
      <c r="N919" s="422"/>
      <c r="O919" s="422"/>
      <c r="P919" s="422"/>
      <c r="Q919" s="422"/>
      <c r="R919" s="422"/>
      <c r="S919" s="422"/>
      <c r="T919" s="422"/>
      <c r="U919" s="422"/>
      <c r="V919" s="422"/>
      <c r="W919" s="422"/>
      <c r="X919" s="422"/>
      <c r="Y919" s="422"/>
      <c r="Z919" s="422"/>
    </row>
    <row r="920" spans="1:26" ht="15" thickBot="1">
      <c r="A920" s="422"/>
      <c r="B920" s="422"/>
      <c r="C920" s="422"/>
      <c r="D920" s="422"/>
      <c r="E920" s="422"/>
      <c r="F920" s="422"/>
      <c r="G920" s="422"/>
      <c r="H920" s="422"/>
      <c r="I920" s="422"/>
      <c r="J920" s="422"/>
      <c r="K920" s="422"/>
      <c r="L920" s="422"/>
      <c r="M920" s="422"/>
      <c r="N920" s="422"/>
      <c r="O920" s="422"/>
      <c r="P920" s="422"/>
      <c r="Q920" s="422"/>
      <c r="R920" s="422"/>
      <c r="S920" s="422"/>
      <c r="T920" s="422"/>
      <c r="U920" s="422"/>
      <c r="V920" s="422"/>
      <c r="W920" s="422"/>
      <c r="X920" s="422"/>
      <c r="Y920" s="422"/>
      <c r="Z920" s="422"/>
    </row>
    <row r="921" spans="1:26" ht="15" thickBot="1">
      <c r="A921" s="422"/>
      <c r="B921" s="422"/>
      <c r="C921" s="422"/>
      <c r="D921" s="422"/>
      <c r="E921" s="422"/>
      <c r="F921" s="422"/>
      <c r="G921" s="422"/>
      <c r="H921" s="422"/>
      <c r="I921" s="422"/>
      <c r="J921" s="422"/>
      <c r="K921" s="422"/>
      <c r="L921" s="422"/>
      <c r="M921" s="422"/>
      <c r="N921" s="422"/>
      <c r="O921" s="422"/>
      <c r="P921" s="422"/>
      <c r="Q921" s="422"/>
      <c r="R921" s="422"/>
      <c r="S921" s="422"/>
      <c r="T921" s="422"/>
      <c r="U921" s="422"/>
      <c r="V921" s="422"/>
      <c r="W921" s="422"/>
      <c r="X921" s="422"/>
      <c r="Y921" s="422"/>
      <c r="Z921" s="422"/>
    </row>
    <row r="922" spans="1:26" ht="15" thickBot="1">
      <c r="A922" s="422"/>
      <c r="B922" s="422"/>
      <c r="C922" s="422"/>
      <c r="D922" s="422"/>
      <c r="E922" s="422"/>
      <c r="F922" s="422"/>
      <c r="G922" s="422"/>
      <c r="H922" s="422"/>
      <c r="I922" s="422"/>
      <c r="J922" s="422"/>
      <c r="K922" s="422"/>
      <c r="L922" s="422"/>
      <c r="M922" s="422"/>
      <c r="N922" s="422"/>
      <c r="O922" s="422"/>
      <c r="P922" s="422"/>
      <c r="Q922" s="422"/>
      <c r="R922" s="422"/>
      <c r="S922" s="422"/>
      <c r="T922" s="422"/>
      <c r="U922" s="422"/>
      <c r="V922" s="422"/>
      <c r="W922" s="422"/>
      <c r="X922" s="422"/>
      <c r="Y922" s="422"/>
      <c r="Z922" s="422"/>
    </row>
    <row r="923" spans="1:26" ht="15" thickBot="1">
      <c r="A923" s="422"/>
      <c r="B923" s="422"/>
      <c r="C923" s="422"/>
      <c r="D923" s="422"/>
      <c r="E923" s="422"/>
      <c r="F923" s="422"/>
      <c r="G923" s="422"/>
      <c r="H923" s="422"/>
      <c r="I923" s="422"/>
      <c r="J923" s="422"/>
      <c r="K923" s="422"/>
      <c r="L923" s="422"/>
      <c r="M923" s="422"/>
      <c r="N923" s="422"/>
      <c r="O923" s="422"/>
      <c r="P923" s="422"/>
      <c r="Q923" s="422"/>
      <c r="R923" s="422"/>
      <c r="S923" s="422"/>
      <c r="T923" s="422"/>
      <c r="U923" s="422"/>
      <c r="V923" s="422"/>
      <c r="W923" s="422"/>
      <c r="X923" s="422"/>
      <c r="Y923" s="422"/>
      <c r="Z923" s="422"/>
    </row>
    <row r="924" spans="1:26" ht="15" thickBot="1">
      <c r="A924" s="422"/>
      <c r="B924" s="422"/>
      <c r="C924" s="422"/>
      <c r="D924" s="422"/>
      <c r="E924" s="422"/>
      <c r="F924" s="422"/>
      <c r="G924" s="422"/>
      <c r="H924" s="422"/>
      <c r="I924" s="422"/>
      <c r="J924" s="422"/>
      <c r="K924" s="422"/>
      <c r="L924" s="422"/>
      <c r="M924" s="422"/>
      <c r="N924" s="422"/>
      <c r="O924" s="422"/>
      <c r="P924" s="422"/>
      <c r="Q924" s="422"/>
      <c r="R924" s="422"/>
      <c r="S924" s="422"/>
      <c r="T924" s="422"/>
      <c r="U924" s="422"/>
      <c r="V924" s="422"/>
      <c r="W924" s="422"/>
      <c r="X924" s="422"/>
      <c r="Y924" s="422"/>
      <c r="Z924" s="422"/>
    </row>
    <row r="925" spans="1:26" ht="15" thickBot="1">
      <c r="A925" s="422"/>
      <c r="B925" s="422"/>
      <c r="C925" s="422"/>
      <c r="D925" s="422"/>
      <c r="E925" s="422"/>
      <c r="F925" s="422"/>
      <c r="G925" s="422"/>
      <c r="H925" s="422"/>
      <c r="I925" s="422"/>
      <c r="J925" s="422"/>
      <c r="K925" s="422"/>
      <c r="L925" s="422"/>
      <c r="M925" s="422"/>
      <c r="N925" s="422"/>
      <c r="O925" s="422"/>
      <c r="P925" s="422"/>
      <c r="Q925" s="422"/>
      <c r="R925" s="422"/>
      <c r="S925" s="422"/>
      <c r="T925" s="422"/>
      <c r="U925" s="422"/>
      <c r="V925" s="422"/>
      <c r="W925" s="422"/>
      <c r="X925" s="422"/>
      <c r="Y925" s="422"/>
      <c r="Z925" s="422"/>
    </row>
    <row r="926" spans="1:26" ht="15" thickBot="1">
      <c r="A926" s="422"/>
      <c r="B926" s="422"/>
      <c r="C926" s="422"/>
      <c r="D926" s="422"/>
      <c r="E926" s="422"/>
      <c r="F926" s="422"/>
      <c r="G926" s="422"/>
      <c r="H926" s="422"/>
      <c r="I926" s="422"/>
      <c r="J926" s="422"/>
      <c r="K926" s="422"/>
      <c r="L926" s="422"/>
      <c r="M926" s="422"/>
      <c r="N926" s="422"/>
      <c r="O926" s="422"/>
      <c r="P926" s="422"/>
      <c r="Q926" s="422"/>
      <c r="R926" s="422"/>
      <c r="S926" s="422"/>
      <c r="T926" s="422"/>
      <c r="U926" s="422"/>
      <c r="V926" s="422"/>
      <c r="W926" s="422"/>
      <c r="X926" s="422"/>
      <c r="Y926" s="422"/>
      <c r="Z926" s="422"/>
    </row>
    <row r="927" spans="1:26" ht="15" thickBot="1">
      <c r="A927" s="422"/>
      <c r="B927" s="422"/>
      <c r="C927" s="422"/>
      <c r="D927" s="422"/>
      <c r="E927" s="422"/>
      <c r="F927" s="422"/>
      <c r="G927" s="422"/>
      <c r="H927" s="422"/>
      <c r="I927" s="422"/>
      <c r="J927" s="422"/>
      <c r="K927" s="422"/>
      <c r="L927" s="422"/>
      <c r="M927" s="422"/>
      <c r="N927" s="422"/>
      <c r="O927" s="422"/>
      <c r="P927" s="422"/>
      <c r="Q927" s="422"/>
      <c r="R927" s="422"/>
      <c r="S927" s="422"/>
      <c r="T927" s="422"/>
      <c r="U927" s="422"/>
      <c r="V927" s="422"/>
      <c r="W927" s="422"/>
      <c r="X927" s="422"/>
      <c r="Y927" s="422"/>
      <c r="Z927" s="422"/>
    </row>
    <row r="928" spans="1:26" ht="15" thickBot="1">
      <c r="A928" s="422"/>
      <c r="B928" s="422"/>
      <c r="C928" s="422"/>
      <c r="D928" s="422"/>
      <c r="E928" s="422"/>
      <c r="F928" s="422"/>
      <c r="G928" s="422"/>
      <c r="H928" s="422"/>
      <c r="I928" s="422"/>
      <c r="J928" s="422"/>
      <c r="K928" s="422"/>
      <c r="L928" s="422"/>
      <c r="M928" s="422"/>
      <c r="N928" s="422"/>
      <c r="O928" s="422"/>
      <c r="P928" s="422"/>
      <c r="Q928" s="422"/>
      <c r="R928" s="422"/>
      <c r="S928" s="422"/>
      <c r="T928" s="422"/>
      <c r="U928" s="422"/>
      <c r="V928" s="422"/>
      <c r="W928" s="422"/>
      <c r="X928" s="422"/>
      <c r="Y928" s="422"/>
      <c r="Z928" s="422"/>
    </row>
    <row r="929" spans="1:26" ht="15" thickBot="1">
      <c r="A929" s="422"/>
      <c r="B929" s="422"/>
      <c r="C929" s="422"/>
      <c r="D929" s="422"/>
      <c r="E929" s="422"/>
      <c r="F929" s="422"/>
      <c r="G929" s="422"/>
      <c r="H929" s="422"/>
      <c r="I929" s="422"/>
      <c r="J929" s="422"/>
      <c r="K929" s="422"/>
      <c r="L929" s="422"/>
      <c r="M929" s="422"/>
      <c r="N929" s="422"/>
      <c r="O929" s="422"/>
      <c r="P929" s="422"/>
      <c r="Q929" s="422"/>
      <c r="R929" s="422"/>
      <c r="S929" s="422"/>
      <c r="T929" s="422"/>
      <c r="U929" s="422"/>
      <c r="V929" s="422"/>
      <c r="W929" s="422"/>
      <c r="X929" s="422"/>
      <c r="Y929" s="422"/>
      <c r="Z929" s="422"/>
    </row>
    <row r="930" spans="1:26" ht="15" thickBot="1">
      <c r="A930" s="422"/>
      <c r="B930" s="422"/>
      <c r="C930" s="422"/>
      <c r="D930" s="422"/>
      <c r="E930" s="422"/>
      <c r="F930" s="422"/>
      <c r="G930" s="422"/>
      <c r="H930" s="422"/>
      <c r="I930" s="422"/>
      <c r="J930" s="422"/>
      <c r="K930" s="422"/>
      <c r="L930" s="422"/>
      <c r="M930" s="422"/>
      <c r="N930" s="422"/>
      <c r="O930" s="422"/>
      <c r="P930" s="422"/>
      <c r="Q930" s="422"/>
      <c r="R930" s="422"/>
      <c r="S930" s="422"/>
      <c r="T930" s="422"/>
      <c r="U930" s="422"/>
      <c r="V930" s="422"/>
      <c r="W930" s="422"/>
      <c r="X930" s="422"/>
      <c r="Y930" s="422"/>
      <c r="Z930" s="422"/>
    </row>
    <row r="931" spans="1:26" ht="15" thickBot="1">
      <c r="A931" s="422"/>
      <c r="B931" s="422"/>
      <c r="C931" s="422"/>
      <c r="D931" s="422"/>
      <c r="E931" s="422"/>
      <c r="F931" s="422"/>
      <c r="G931" s="422"/>
      <c r="H931" s="422"/>
      <c r="I931" s="422"/>
      <c r="J931" s="422"/>
      <c r="K931" s="422"/>
      <c r="L931" s="422"/>
      <c r="M931" s="422"/>
      <c r="N931" s="422"/>
      <c r="O931" s="422"/>
      <c r="P931" s="422"/>
      <c r="Q931" s="422"/>
      <c r="R931" s="422"/>
      <c r="S931" s="422"/>
      <c r="T931" s="422"/>
      <c r="U931" s="422"/>
      <c r="V931" s="422"/>
      <c r="W931" s="422"/>
      <c r="X931" s="422"/>
      <c r="Y931" s="422"/>
      <c r="Z931" s="422"/>
    </row>
    <row r="932" spans="1:26" ht="15" thickBot="1">
      <c r="A932" s="422"/>
      <c r="B932" s="422"/>
      <c r="C932" s="422"/>
      <c r="D932" s="422"/>
      <c r="E932" s="422"/>
      <c r="F932" s="422"/>
      <c r="G932" s="422"/>
      <c r="H932" s="422"/>
      <c r="I932" s="422"/>
      <c r="J932" s="422"/>
      <c r="K932" s="422"/>
      <c r="L932" s="422"/>
      <c r="M932" s="422"/>
      <c r="N932" s="422"/>
      <c r="O932" s="422"/>
      <c r="P932" s="422"/>
      <c r="Q932" s="422"/>
      <c r="R932" s="422"/>
      <c r="S932" s="422"/>
      <c r="T932" s="422"/>
      <c r="U932" s="422"/>
      <c r="V932" s="422"/>
      <c r="W932" s="422"/>
      <c r="X932" s="422"/>
      <c r="Y932" s="422"/>
      <c r="Z932" s="422"/>
    </row>
    <row r="933" spans="1:26" ht="15" thickBot="1">
      <c r="A933" s="422"/>
      <c r="B933" s="422"/>
      <c r="C933" s="422"/>
      <c r="D933" s="422"/>
      <c r="E933" s="422"/>
      <c r="F933" s="422"/>
      <c r="G933" s="422"/>
      <c r="H933" s="422"/>
      <c r="I933" s="422"/>
      <c r="J933" s="422"/>
      <c r="K933" s="422"/>
      <c r="L933" s="422"/>
      <c r="M933" s="422"/>
      <c r="N933" s="422"/>
      <c r="O933" s="422"/>
      <c r="P933" s="422"/>
      <c r="Q933" s="422"/>
      <c r="R933" s="422"/>
      <c r="S933" s="422"/>
      <c r="T933" s="422"/>
      <c r="U933" s="422"/>
      <c r="V933" s="422"/>
      <c r="W933" s="422"/>
      <c r="X933" s="422"/>
      <c r="Y933" s="422"/>
      <c r="Z933" s="422"/>
    </row>
    <row r="934" spans="1:26" ht="15" thickBot="1">
      <c r="A934" s="422"/>
      <c r="B934" s="422"/>
      <c r="C934" s="422"/>
      <c r="D934" s="422"/>
      <c r="E934" s="422"/>
      <c r="F934" s="422"/>
      <c r="G934" s="422"/>
      <c r="H934" s="422"/>
      <c r="I934" s="422"/>
      <c r="J934" s="422"/>
      <c r="K934" s="422"/>
      <c r="L934" s="422"/>
      <c r="M934" s="422"/>
      <c r="N934" s="422"/>
      <c r="O934" s="422"/>
      <c r="P934" s="422"/>
      <c r="Q934" s="422"/>
      <c r="R934" s="422"/>
      <c r="S934" s="422"/>
      <c r="T934" s="422"/>
      <c r="U934" s="422"/>
      <c r="V934" s="422"/>
      <c r="W934" s="422"/>
      <c r="X934" s="422"/>
      <c r="Y934" s="422"/>
      <c r="Z934" s="422"/>
    </row>
    <row r="935" spans="1:26" ht="15" thickBot="1">
      <c r="A935" s="422"/>
      <c r="B935" s="422"/>
      <c r="C935" s="422"/>
      <c r="D935" s="422"/>
      <c r="E935" s="422"/>
      <c r="F935" s="422"/>
      <c r="G935" s="422"/>
      <c r="H935" s="422"/>
      <c r="I935" s="422"/>
      <c r="J935" s="422"/>
      <c r="K935" s="422"/>
      <c r="L935" s="422"/>
      <c r="M935" s="422"/>
      <c r="N935" s="422"/>
      <c r="O935" s="422"/>
      <c r="P935" s="422"/>
      <c r="Q935" s="422"/>
      <c r="R935" s="422"/>
      <c r="S935" s="422"/>
      <c r="T935" s="422"/>
      <c r="U935" s="422"/>
      <c r="V935" s="422"/>
      <c r="W935" s="422"/>
      <c r="X935" s="422"/>
      <c r="Y935" s="422"/>
      <c r="Z935" s="422"/>
    </row>
    <row r="936" spans="1:26" ht="15" thickBot="1">
      <c r="A936" s="422"/>
      <c r="B936" s="422"/>
      <c r="C936" s="422"/>
      <c r="D936" s="422"/>
      <c r="E936" s="422"/>
      <c r="F936" s="422"/>
      <c r="G936" s="422"/>
      <c r="H936" s="422"/>
      <c r="I936" s="422"/>
      <c r="J936" s="422"/>
      <c r="K936" s="422"/>
      <c r="L936" s="422"/>
      <c r="M936" s="422"/>
      <c r="N936" s="422"/>
      <c r="O936" s="422"/>
      <c r="P936" s="422"/>
      <c r="Q936" s="422"/>
      <c r="R936" s="422"/>
      <c r="S936" s="422"/>
      <c r="T936" s="422"/>
      <c r="U936" s="422"/>
      <c r="V936" s="422"/>
      <c r="W936" s="422"/>
      <c r="X936" s="422"/>
      <c r="Y936" s="422"/>
      <c r="Z936" s="422"/>
    </row>
    <row r="937" spans="1:26" ht="15" thickBot="1">
      <c r="A937" s="422"/>
      <c r="B937" s="422"/>
      <c r="C937" s="422"/>
      <c r="D937" s="422"/>
      <c r="E937" s="422"/>
      <c r="F937" s="422"/>
      <c r="G937" s="422"/>
      <c r="H937" s="422"/>
      <c r="I937" s="422"/>
      <c r="J937" s="422"/>
      <c r="K937" s="422"/>
      <c r="L937" s="422"/>
      <c r="M937" s="422"/>
      <c r="N937" s="422"/>
      <c r="O937" s="422"/>
      <c r="P937" s="422"/>
      <c r="Q937" s="422"/>
      <c r="R937" s="422"/>
      <c r="S937" s="422"/>
      <c r="T937" s="422"/>
      <c r="U937" s="422"/>
      <c r="V937" s="422"/>
      <c r="W937" s="422"/>
      <c r="X937" s="422"/>
      <c r="Y937" s="422"/>
      <c r="Z937" s="422"/>
    </row>
    <row r="938" spans="1:26" ht="15" thickBot="1">
      <c r="A938" s="422"/>
      <c r="B938" s="422"/>
      <c r="C938" s="422"/>
      <c r="D938" s="422"/>
      <c r="E938" s="422"/>
      <c r="F938" s="422"/>
      <c r="G938" s="422"/>
      <c r="H938" s="422"/>
      <c r="I938" s="422"/>
      <c r="J938" s="422"/>
      <c r="K938" s="422"/>
      <c r="L938" s="422"/>
      <c r="M938" s="422"/>
      <c r="N938" s="422"/>
      <c r="O938" s="422"/>
      <c r="P938" s="422"/>
      <c r="Q938" s="422"/>
      <c r="R938" s="422"/>
      <c r="S938" s="422"/>
      <c r="T938" s="422"/>
      <c r="U938" s="422"/>
      <c r="V938" s="422"/>
      <c r="W938" s="422"/>
      <c r="X938" s="422"/>
      <c r="Y938" s="422"/>
      <c r="Z938" s="422"/>
    </row>
    <row r="939" spans="1:26" ht="15" thickBot="1">
      <c r="A939" s="422"/>
      <c r="B939" s="422"/>
      <c r="C939" s="422"/>
      <c r="D939" s="422"/>
      <c r="E939" s="422"/>
      <c r="F939" s="422"/>
      <c r="G939" s="422"/>
      <c r="H939" s="422"/>
      <c r="I939" s="422"/>
      <c r="J939" s="422"/>
      <c r="K939" s="422"/>
      <c r="L939" s="422"/>
      <c r="M939" s="422"/>
      <c r="N939" s="422"/>
      <c r="O939" s="422"/>
      <c r="P939" s="422"/>
      <c r="Q939" s="422"/>
      <c r="R939" s="422"/>
      <c r="S939" s="422"/>
      <c r="T939" s="422"/>
      <c r="U939" s="422"/>
      <c r="V939" s="422"/>
      <c r="W939" s="422"/>
      <c r="X939" s="422"/>
      <c r="Y939" s="422"/>
      <c r="Z939" s="422"/>
    </row>
    <row r="940" spans="1:26" ht="15" thickBot="1">
      <c r="A940" s="422"/>
      <c r="B940" s="422"/>
      <c r="C940" s="422"/>
      <c r="D940" s="422"/>
      <c r="E940" s="422"/>
      <c r="F940" s="422"/>
      <c r="G940" s="422"/>
      <c r="H940" s="422"/>
      <c r="I940" s="422"/>
      <c r="J940" s="422"/>
      <c r="K940" s="422"/>
      <c r="L940" s="422"/>
      <c r="M940" s="422"/>
      <c r="N940" s="422"/>
      <c r="O940" s="422"/>
      <c r="P940" s="422"/>
      <c r="Q940" s="422"/>
      <c r="R940" s="422"/>
      <c r="S940" s="422"/>
      <c r="T940" s="422"/>
      <c r="U940" s="422"/>
      <c r="V940" s="422"/>
      <c r="W940" s="422"/>
      <c r="X940" s="422"/>
      <c r="Y940" s="422"/>
      <c r="Z940" s="422"/>
    </row>
    <row r="941" spans="1:26" ht="15" thickBot="1">
      <c r="A941" s="422"/>
      <c r="B941" s="422"/>
      <c r="C941" s="422"/>
      <c r="D941" s="422"/>
      <c r="E941" s="422"/>
      <c r="F941" s="422"/>
      <c r="G941" s="422"/>
      <c r="H941" s="422"/>
      <c r="I941" s="422"/>
      <c r="J941" s="422"/>
      <c r="K941" s="422"/>
      <c r="L941" s="422"/>
      <c r="M941" s="422"/>
      <c r="N941" s="422"/>
      <c r="O941" s="422"/>
      <c r="P941" s="422"/>
      <c r="Q941" s="422"/>
      <c r="R941" s="422"/>
      <c r="S941" s="422"/>
      <c r="T941" s="422"/>
      <c r="U941" s="422"/>
      <c r="V941" s="422"/>
      <c r="W941" s="422"/>
      <c r="X941" s="422"/>
      <c r="Y941" s="422"/>
      <c r="Z941" s="422"/>
    </row>
    <row r="942" spans="1:26" ht="15" thickBot="1">
      <c r="A942" s="422"/>
      <c r="B942" s="422"/>
      <c r="C942" s="422"/>
      <c r="D942" s="422"/>
      <c r="E942" s="422"/>
      <c r="F942" s="422"/>
      <c r="G942" s="422"/>
      <c r="H942" s="422"/>
      <c r="I942" s="422"/>
      <c r="J942" s="422"/>
      <c r="K942" s="422"/>
      <c r="L942" s="422"/>
      <c r="M942" s="422"/>
      <c r="N942" s="422"/>
      <c r="O942" s="422"/>
      <c r="P942" s="422"/>
      <c r="Q942" s="422"/>
      <c r="R942" s="422"/>
      <c r="S942" s="422"/>
      <c r="T942" s="422"/>
      <c r="U942" s="422"/>
      <c r="V942" s="422"/>
      <c r="W942" s="422"/>
      <c r="X942" s="422"/>
      <c r="Y942" s="422"/>
      <c r="Z942" s="422"/>
    </row>
    <row r="943" spans="1:26" ht="15" thickBot="1">
      <c r="A943" s="422"/>
      <c r="B943" s="422"/>
      <c r="C943" s="422"/>
      <c r="D943" s="422"/>
      <c r="E943" s="422"/>
      <c r="F943" s="422"/>
      <c r="G943" s="422"/>
      <c r="H943" s="422"/>
      <c r="I943" s="422"/>
      <c r="J943" s="422"/>
      <c r="K943" s="422"/>
      <c r="L943" s="422"/>
      <c r="M943" s="422"/>
      <c r="N943" s="422"/>
      <c r="O943" s="422"/>
      <c r="P943" s="422"/>
      <c r="Q943" s="422"/>
      <c r="R943" s="422"/>
      <c r="S943" s="422"/>
      <c r="T943" s="422"/>
      <c r="U943" s="422"/>
      <c r="V943" s="422"/>
      <c r="W943" s="422"/>
      <c r="X943" s="422"/>
      <c r="Y943" s="422"/>
      <c r="Z943" s="422"/>
    </row>
    <row r="944" spans="1:26" ht="15" thickBot="1">
      <c r="A944" s="422"/>
      <c r="B944" s="422"/>
      <c r="C944" s="422"/>
      <c r="D944" s="422"/>
      <c r="E944" s="422"/>
      <c r="F944" s="422"/>
      <c r="G944" s="422"/>
      <c r="H944" s="422"/>
      <c r="I944" s="422"/>
      <c r="J944" s="422"/>
      <c r="K944" s="422"/>
      <c r="L944" s="422"/>
      <c r="M944" s="422"/>
      <c r="N944" s="422"/>
      <c r="O944" s="422"/>
      <c r="P944" s="422"/>
      <c r="Q944" s="422"/>
      <c r="R944" s="422"/>
      <c r="S944" s="422"/>
      <c r="T944" s="422"/>
      <c r="U944" s="422"/>
      <c r="V944" s="422"/>
      <c r="W944" s="422"/>
      <c r="X944" s="422"/>
      <c r="Y944" s="422"/>
      <c r="Z944" s="422"/>
    </row>
    <row r="945" spans="1:26" ht="15" thickBot="1">
      <c r="A945" s="422"/>
      <c r="B945" s="422"/>
      <c r="C945" s="422"/>
      <c r="D945" s="422"/>
      <c r="E945" s="422"/>
      <c r="F945" s="422"/>
      <c r="G945" s="422"/>
      <c r="H945" s="422"/>
      <c r="I945" s="422"/>
      <c r="J945" s="422"/>
      <c r="K945" s="422"/>
      <c r="L945" s="422"/>
      <c r="M945" s="422"/>
      <c r="N945" s="422"/>
      <c r="O945" s="422"/>
      <c r="P945" s="422"/>
      <c r="Q945" s="422"/>
      <c r="R945" s="422"/>
      <c r="S945" s="422"/>
      <c r="T945" s="422"/>
      <c r="U945" s="422"/>
      <c r="V945" s="422"/>
      <c r="W945" s="422"/>
      <c r="X945" s="422"/>
      <c r="Y945" s="422"/>
      <c r="Z945" s="422"/>
    </row>
    <row r="946" spans="1:26" ht="15" thickBot="1">
      <c r="A946" s="422"/>
      <c r="B946" s="422"/>
      <c r="C946" s="422"/>
      <c r="D946" s="422"/>
      <c r="E946" s="422"/>
      <c r="F946" s="422"/>
      <c r="G946" s="422"/>
      <c r="H946" s="422"/>
      <c r="I946" s="422"/>
      <c r="J946" s="422"/>
      <c r="K946" s="422"/>
      <c r="L946" s="422"/>
      <c r="M946" s="422"/>
      <c r="N946" s="422"/>
      <c r="O946" s="422"/>
      <c r="P946" s="422"/>
      <c r="Q946" s="422"/>
      <c r="R946" s="422"/>
      <c r="S946" s="422"/>
      <c r="T946" s="422"/>
      <c r="U946" s="422"/>
      <c r="V946" s="422"/>
      <c r="W946" s="422"/>
      <c r="X946" s="422"/>
      <c r="Y946" s="422"/>
      <c r="Z946" s="422"/>
    </row>
    <row r="947" spans="1:26" ht="15" thickBot="1">
      <c r="A947" s="422"/>
      <c r="B947" s="422"/>
      <c r="C947" s="422"/>
      <c r="D947" s="422"/>
      <c r="E947" s="422"/>
      <c r="F947" s="422"/>
      <c r="G947" s="422"/>
      <c r="H947" s="422"/>
      <c r="I947" s="422"/>
      <c r="J947" s="422"/>
      <c r="K947" s="422"/>
      <c r="L947" s="422"/>
      <c r="M947" s="422"/>
      <c r="N947" s="422"/>
      <c r="O947" s="422"/>
      <c r="P947" s="422"/>
      <c r="Q947" s="422"/>
      <c r="R947" s="422"/>
      <c r="S947" s="422"/>
      <c r="T947" s="422"/>
      <c r="U947" s="422"/>
      <c r="V947" s="422"/>
      <c r="W947" s="422"/>
      <c r="X947" s="422"/>
      <c r="Y947" s="422"/>
      <c r="Z947" s="422"/>
    </row>
    <row r="948" spans="1:26" ht="15" thickBot="1">
      <c r="A948" s="422"/>
      <c r="B948" s="422"/>
      <c r="C948" s="422"/>
      <c r="D948" s="422"/>
      <c r="E948" s="422"/>
      <c r="F948" s="422"/>
      <c r="G948" s="422"/>
      <c r="H948" s="422"/>
      <c r="I948" s="422"/>
      <c r="J948" s="422"/>
      <c r="K948" s="422"/>
      <c r="L948" s="422"/>
      <c r="M948" s="422"/>
      <c r="N948" s="422"/>
      <c r="O948" s="422"/>
      <c r="P948" s="422"/>
      <c r="Q948" s="422"/>
      <c r="R948" s="422"/>
      <c r="S948" s="422"/>
      <c r="T948" s="422"/>
      <c r="U948" s="422"/>
      <c r="V948" s="422"/>
      <c r="W948" s="422"/>
      <c r="X948" s="422"/>
      <c r="Y948" s="422"/>
      <c r="Z948" s="422"/>
    </row>
    <row r="949" spans="1:26" ht="15" thickBot="1">
      <c r="A949" s="422"/>
      <c r="B949" s="422"/>
      <c r="C949" s="422"/>
      <c r="D949" s="422"/>
      <c r="E949" s="422"/>
      <c r="F949" s="422"/>
      <c r="G949" s="422"/>
      <c r="H949" s="422"/>
      <c r="I949" s="422"/>
      <c r="J949" s="422"/>
      <c r="K949" s="422"/>
      <c r="L949" s="422"/>
      <c r="M949" s="422"/>
      <c r="N949" s="422"/>
      <c r="O949" s="422"/>
      <c r="P949" s="422"/>
      <c r="Q949" s="422"/>
      <c r="R949" s="422"/>
      <c r="S949" s="422"/>
      <c r="T949" s="422"/>
      <c r="U949" s="422"/>
      <c r="V949" s="422"/>
      <c r="W949" s="422"/>
      <c r="X949" s="422"/>
      <c r="Y949" s="422"/>
      <c r="Z949" s="422"/>
    </row>
    <row r="950" spans="1:26" ht="15" thickBot="1">
      <c r="A950" s="422"/>
      <c r="B950" s="422"/>
      <c r="C950" s="422"/>
      <c r="D950" s="422"/>
      <c r="E950" s="422"/>
      <c r="F950" s="422"/>
      <c r="G950" s="422"/>
      <c r="H950" s="422"/>
      <c r="I950" s="422"/>
      <c r="J950" s="422"/>
      <c r="K950" s="422"/>
      <c r="L950" s="422"/>
      <c r="M950" s="422"/>
      <c r="N950" s="422"/>
      <c r="O950" s="422"/>
      <c r="P950" s="422"/>
      <c r="Q950" s="422"/>
      <c r="R950" s="422"/>
      <c r="S950" s="422"/>
      <c r="T950" s="422"/>
      <c r="U950" s="422"/>
      <c r="V950" s="422"/>
      <c r="W950" s="422"/>
      <c r="X950" s="422"/>
      <c r="Y950" s="422"/>
      <c r="Z950" s="422"/>
    </row>
    <row r="951" spans="1:26" ht="15" thickBot="1">
      <c r="A951" s="422"/>
      <c r="B951" s="422"/>
      <c r="C951" s="422"/>
      <c r="D951" s="422"/>
      <c r="E951" s="422"/>
      <c r="F951" s="422"/>
      <c r="G951" s="422"/>
      <c r="H951" s="422"/>
      <c r="I951" s="422"/>
      <c r="J951" s="422"/>
      <c r="K951" s="422"/>
      <c r="L951" s="422"/>
      <c r="M951" s="422"/>
      <c r="N951" s="422"/>
      <c r="O951" s="422"/>
      <c r="P951" s="422"/>
      <c r="Q951" s="422"/>
      <c r="R951" s="422"/>
      <c r="S951" s="422"/>
      <c r="T951" s="422"/>
      <c r="U951" s="422"/>
      <c r="V951" s="422"/>
      <c r="W951" s="422"/>
      <c r="X951" s="422"/>
      <c r="Y951" s="422"/>
      <c r="Z951" s="422"/>
    </row>
    <row r="952" spans="1:26" ht="15" thickBot="1">
      <c r="A952" s="422"/>
      <c r="B952" s="422"/>
      <c r="C952" s="422"/>
      <c r="D952" s="422"/>
      <c r="E952" s="422"/>
      <c r="F952" s="422"/>
      <c r="G952" s="422"/>
      <c r="H952" s="422"/>
      <c r="I952" s="422"/>
      <c r="J952" s="422"/>
      <c r="K952" s="422"/>
      <c r="L952" s="422"/>
      <c r="M952" s="422"/>
      <c r="N952" s="422"/>
      <c r="O952" s="422"/>
      <c r="P952" s="422"/>
      <c r="Q952" s="422"/>
      <c r="R952" s="422"/>
      <c r="S952" s="422"/>
      <c r="T952" s="422"/>
      <c r="U952" s="422"/>
      <c r="V952" s="422"/>
      <c r="W952" s="422"/>
      <c r="X952" s="422"/>
      <c r="Y952" s="422"/>
      <c r="Z952" s="422"/>
    </row>
    <row r="953" spans="1:26" ht="15" thickBot="1">
      <c r="A953" s="422"/>
      <c r="B953" s="422"/>
      <c r="C953" s="422"/>
      <c r="D953" s="422"/>
      <c r="E953" s="422"/>
      <c r="F953" s="422"/>
      <c r="G953" s="422"/>
      <c r="H953" s="422"/>
      <c r="I953" s="422"/>
      <c r="J953" s="422"/>
      <c r="K953" s="422"/>
      <c r="L953" s="422"/>
      <c r="M953" s="422"/>
      <c r="N953" s="422"/>
      <c r="O953" s="422"/>
      <c r="P953" s="422"/>
      <c r="Q953" s="422"/>
      <c r="R953" s="422"/>
      <c r="S953" s="422"/>
      <c r="T953" s="422"/>
      <c r="U953" s="422"/>
      <c r="V953" s="422"/>
      <c r="W953" s="422"/>
      <c r="X953" s="422"/>
      <c r="Y953" s="422"/>
      <c r="Z953" s="422"/>
    </row>
    <row r="954" spans="1:26" ht="15" thickBot="1">
      <c r="A954" s="422"/>
      <c r="B954" s="422"/>
      <c r="C954" s="422"/>
      <c r="D954" s="422"/>
      <c r="E954" s="422"/>
      <c r="F954" s="422"/>
      <c r="G954" s="422"/>
      <c r="H954" s="422"/>
      <c r="I954" s="422"/>
      <c r="J954" s="422"/>
      <c r="K954" s="422"/>
      <c r="L954" s="422"/>
      <c r="M954" s="422"/>
      <c r="N954" s="422"/>
      <c r="O954" s="422"/>
      <c r="P954" s="422"/>
      <c r="Q954" s="422"/>
      <c r="R954" s="422"/>
      <c r="S954" s="422"/>
      <c r="T954" s="422"/>
      <c r="U954" s="422"/>
      <c r="V954" s="422"/>
      <c r="W954" s="422"/>
      <c r="X954" s="422"/>
      <c r="Y954" s="422"/>
      <c r="Z954" s="422"/>
    </row>
    <row r="955" spans="1:26" ht="15" thickBot="1">
      <c r="A955" s="422"/>
      <c r="B955" s="422"/>
      <c r="C955" s="422"/>
      <c r="D955" s="422"/>
      <c r="E955" s="422"/>
      <c r="F955" s="422"/>
      <c r="G955" s="422"/>
      <c r="H955" s="422"/>
      <c r="I955" s="422"/>
      <c r="J955" s="422"/>
      <c r="K955" s="422"/>
      <c r="L955" s="422"/>
      <c r="M955" s="422"/>
      <c r="N955" s="422"/>
      <c r="O955" s="422"/>
      <c r="P955" s="422"/>
      <c r="Q955" s="422"/>
      <c r="R955" s="422"/>
      <c r="S955" s="422"/>
      <c r="T955" s="422"/>
      <c r="U955" s="422"/>
      <c r="V955" s="422"/>
      <c r="W955" s="422"/>
      <c r="X955" s="422"/>
      <c r="Y955" s="422"/>
      <c r="Z955" s="422"/>
    </row>
    <row r="956" spans="1:26" ht="15" thickBot="1">
      <c r="A956" s="422"/>
      <c r="B956" s="422"/>
      <c r="C956" s="422"/>
      <c r="D956" s="422"/>
      <c r="E956" s="422"/>
      <c r="F956" s="422"/>
      <c r="G956" s="422"/>
      <c r="H956" s="422"/>
      <c r="I956" s="422"/>
      <c r="J956" s="422"/>
      <c r="K956" s="422"/>
      <c r="L956" s="422"/>
      <c r="M956" s="422"/>
      <c r="N956" s="422"/>
      <c r="O956" s="422"/>
      <c r="P956" s="422"/>
      <c r="Q956" s="422"/>
      <c r="R956" s="422"/>
      <c r="S956" s="422"/>
      <c r="T956" s="422"/>
      <c r="U956" s="422"/>
      <c r="V956" s="422"/>
      <c r="W956" s="422"/>
      <c r="X956" s="422"/>
      <c r="Y956" s="422"/>
      <c r="Z956" s="422"/>
    </row>
    <row r="957" spans="1:26" ht="15" thickBot="1">
      <c r="A957" s="422"/>
      <c r="B957" s="422"/>
      <c r="C957" s="422"/>
      <c r="D957" s="422"/>
      <c r="E957" s="422"/>
      <c r="F957" s="422"/>
      <c r="G957" s="422"/>
      <c r="H957" s="422"/>
      <c r="I957" s="422"/>
      <c r="J957" s="422"/>
      <c r="K957" s="422"/>
      <c r="L957" s="422"/>
      <c r="M957" s="422"/>
      <c r="N957" s="422"/>
      <c r="O957" s="422"/>
      <c r="P957" s="422"/>
      <c r="Q957" s="422"/>
      <c r="R957" s="422"/>
      <c r="S957" s="422"/>
      <c r="T957" s="422"/>
      <c r="U957" s="422"/>
      <c r="V957" s="422"/>
      <c r="W957" s="422"/>
      <c r="X957" s="422"/>
      <c r="Y957" s="422"/>
      <c r="Z957" s="422"/>
    </row>
    <row r="958" spans="1:26" ht="15" thickBot="1">
      <c r="A958" s="422"/>
      <c r="B958" s="422"/>
      <c r="C958" s="422"/>
      <c r="D958" s="422"/>
      <c r="E958" s="422"/>
      <c r="F958" s="422"/>
      <c r="G958" s="422"/>
      <c r="H958" s="422"/>
      <c r="I958" s="422"/>
      <c r="J958" s="422"/>
      <c r="K958" s="422"/>
      <c r="L958" s="422"/>
      <c r="M958" s="422"/>
      <c r="N958" s="422"/>
      <c r="O958" s="422"/>
      <c r="P958" s="422"/>
      <c r="Q958" s="422"/>
      <c r="R958" s="422"/>
      <c r="S958" s="422"/>
      <c r="T958" s="422"/>
      <c r="U958" s="422"/>
      <c r="V958" s="422"/>
      <c r="W958" s="422"/>
      <c r="X958" s="422"/>
      <c r="Y958" s="422"/>
      <c r="Z958" s="422"/>
    </row>
    <row r="959" spans="1:26" ht="15" thickBot="1">
      <c r="A959" s="422"/>
      <c r="B959" s="422"/>
      <c r="C959" s="422"/>
      <c r="D959" s="422"/>
      <c r="E959" s="422"/>
      <c r="F959" s="422"/>
      <c r="G959" s="422"/>
      <c r="H959" s="422"/>
      <c r="I959" s="422"/>
      <c r="J959" s="422"/>
      <c r="K959" s="422"/>
      <c r="L959" s="422"/>
      <c r="M959" s="422"/>
      <c r="N959" s="422"/>
      <c r="O959" s="422"/>
      <c r="P959" s="422"/>
      <c r="Q959" s="422"/>
      <c r="R959" s="422"/>
      <c r="S959" s="422"/>
      <c r="T959" s="422"/>
      <c r="U959" s="422"/>
      <c r="V959" s="422"/>
      <c r="W959" s="422"/>
      <c r="X959" s="422"/>
      <c r="Y959" s="422"/>
      <c r="Z959" s="422"/>
    </row>
    <row r="960" spans="1:26" ht="15" thickBot="1">
      <c r="A960" s="422"/>
      <c r="B960" s="422"/>
      <c r="C960" s="422"/>
      <c r="D960" s="422"/>
      <c r="E960" s="422"/>
      <c r="F960" s="422"/>
      <c r="G960" s="422"/>
      <c r="H960" s="422"/>
      <c r="I960" s="422"/>
      <c r="J960" s="422"/>
      <c r="K960" s="422"/>
      <c r="L960" s="422"/>
      <c r="M960" s="422"/>
      <c r="N960" s="422"/>
      <c r="O960" s="422"/>
      <c r="P960" s="422"/>
      <c r="Q960" s="422"/>
      <c r="R960" s="422"/>
      <c r="S960" s="422"/>
      <c r="T960" s="422"/>
      <c r="U960" s="422"/>
      <c r="V960" s="422"/>
      <c r="W960" s="422"/>
      <c r="X960" s="422"/>
      <c r="Y960" s="422"/>
      <c r="Z960" s="422"/>
    </row>
    <row r="961" spans="1:26" ht="15" thickBot="1">
      <c r="A961" s="422"/>
      <c r="B961" s="422"/>
      <c r="C961" s="422"/>
      <c r="D961" s="422"/>
      <c r="E961" s="422"/>
      <c r="F961" s="422"/>
      <c r="G961" s="422"/>
      <c r="H961" s="422"/>
      <c r="I961" s="422"/>
      <c r="J961" s="422"/>
      <c r="K961" s="422"/>
      <c r="L961" s="422"/>
      <c r="M961" s="422"/>
      <c r="N961" s="422"/>
      <c r="O961" s="422"/>
      <c r="P961" s="422"/>
      <c r="Q961" s="422"/>
      <c r="R961" s="422"/>
      <c r="S961" s="422"/>
      <c r="T961" s="422"/>
      <c r="U961" s="422"/>
      <c r="V961" s="422"/>
      <c r="W961" s="422"/>
      <c r="X961" s="422"/>
      <c r="Y961" s="422"/>
      <c r="Z961" s="422"/>
    </row>
    <row r="962" spans="1:26" ht="15" thickBot="1">
      <c r="A962" s="422"/>
      <c r="B962" s="422"/>
      <c r="C962" s="422"/>
      <c r="D962" s="422"/>
      <c r="E962" s="422"/>
      <c r="F962" s="422"/>
      <c r="G962" s="422"/>
      <c r="H962" s="422"/>
      <c r="I962" s="422"/>
      <c r="J962" s="422"/>
      <c r="K962" s="422"/>
      <c r="L962" s="422"/>
      <c r="M962" s="422"/>
      <c r="N962" s="422"/>
      <c r="O962" s="422"/>
      <c r="P962" s="422"/>
      <c r="Q962" s="422"/>
      <c r="R962" s="422"/>
      <c r="S962" s="422"/>
      <c r="T962" s="422"/>
      <c r="U962" s="422"/>
      <c r="V962" s="422"/>
      <c r="W962" s="422"/>
      <c r="X962" s="422"/>
      <c r="Y962" s="422"/>
      <c r="Z962" s="422"/>
    </row>
    <row r="963" spans="1:26" ht="15" thickBot="1">
      <c r="A963" s="422"/>
      <c r="B963" s="422"/>
      <c r="C963" s="422"/>
      <c r="D963" s="422"/>
      <c r="E963" s="422"/>
      <c r="F963" s="422"/>
      <c r="G963" s="422"/>
      <c r="H963" s="422"/>
      <c r="I963" s="422"/>
      <c r="J963" s="422"/>
      <c r="K963" s="422"/>
      <c r="L963" s="422"/>
      <c r="M963" s="422"/>
      <c r="N963" s="422"/>
      <c r="O963" s="422"/>
      <c r="P963" s="422"/>
      <c r="Q963" s="422"/>
      <c r="R963" s="422"/>
      <c r="S963" s="422"/>
      <c r="T963" s="422"/>
      <c r="U963" s="422"/>
      <c r="V963" s="422"/>
      <c r="W963" s="422"/>
      <c r="X963" s="422"/>
      <c r="Y963" s="422"/>
      <c r="Z963" s="422"/>
    </row>
    <row r="964" spans="1:26" ht="15" thickBot="1">
      <c r="A964" s="422"/>
      <c r="B964" s="422"/>
      <c r="C964" s="422"/>
      <c r="D964" s="422"/>
      <c r="E964" s="422"/>
      <c r="F964" s="422"/>
      <c r="G964" s="422"/>
      <c r="H964" s="422"/>
      <c r="I964" s="422"/>
      <c r="J964" s="422"/>
      <c r="K964" s="422"/>
      <c r="L964" s="422"/>
      <c r="M964" s="422"/>
      <c r="N964" s="422"/>
      <c r="O964" s="422"/>
      <c r="P964" s="422"/>
      <c r="Q964" s="422"/>
      <c r="R964" s="422"/>
      <c r="S964" s="422"/>
      <c r="T964" s="422"/>
      <c r="U964" s="422"/>
      <c r="V964" s="422"/>
      <c r="W964" s="422"/>
      <c r="X964" s="422"/>
      <c r="Y964" s="422"/>
      <c r="Z964" s="422"/>
    </row>
    <row r="965" spans="1:26" ht="15" thickBot="1">
      <c r="A965" s="422"/>
      <c r="B965" s="422"/>
      <c r="C965" s="422"/>
      <c r="D965" s="422"/>
      <c r="E965" s="422"/>
      <c r="F965" s="422"/>
      <c r="G965" s="422"/>
      <c r="H965" s="422"/>
      <c r="I965" s="422"/>
      <c r="J965" s="422"/>
      <c r="K965" s="422"/>
      <c r="L965" s="422"/>
      <c r="M965" s="422"/>
      <c r="N965" s="422"/>
      <c r="O965" s="422"/>
      <c r="P965" s="422"/>
      <c r="Q965" s="422"/>
      <c r="R965" s="422"/>
      <c r="S965" s="422"/>
      <c r="T965" s="422"/>
      <c r="U965" s="422"/>
      <c r="V965" s="422"/>
      <c r="W965" s="422"/>
      <c r="X965" s="422"/>
      <c r="Y965" s="422"/>
      <c r="Z965" s="422"/>
    </row>
    <row r="966" spans="1:26" ht="15" thickBot="1">
      <c r="A966" s="422"/>
      <c r="B966" s="422"/>
      <c r="C966" s="422"/>
      <c r="D966" s="422"/>
      <c r="E966" s="422"/>
      <c r="F966" s="422"/>
      <c r="G966" s="422"/>
      <c r="H966" s="422"/>
      <c r="I966" s="422"/>
      <c r="J966" s="422"/>
      <c r="K966" s="422"/>
      <c r="L966" s="422"/>
      <c r="M966" s="422"/>
      <c r="N966" s="422"/>
      <c r="O966" s="422"/>
      <c r="P966" s="422"/>
      <c r="Q966" s="422"/>
      <c r="R966" s="422"/>
      <c r="S966" s="422"/>
      <c r="T966" s="422"/>
      <c r="U966" s="422"/>
      <c r="V966" s="422"/>
      <c r="W966" s="422"/>
      <c r="X966" s="422"/>
      <c r="Y966" s="422"/>
      <c r="Z966" s="422"/>
    </row>
    <row r="967" spans="1:26" ht="15" thickBot="1">
      <c r="A967" s="422"/>
      <c r="B967" s="422"/>
      <c r="C967" s="422"/>
      <c r="D967" s="422"/>
      <c r="E967" s="422"/>
      <c r="F967" s="422"/>
      <c r="G967" s="422"/>
      <c r="H967" s="422"/>
      <c r="I967" s="422"/>
      <c r="J967" s="422"/>
      <c r="K967" s="422"/>
      <c r="L967" s="422"/>
      <c r="M967" s="422"/>
      <c r="N967" s="422"/>
      <c r="O967" s="422"/>
      <c r="P967" s="422"/>
      <c r="Q967" s="422"/>
      <c r="R967" s="422"/>
      <c r="S967" s="422"/>
      <c r="T967" s="422"/>
      <c r="U967" s="422"/>
      <c r="V967" s="422"/>
      <c r="W967" s="422"/>
      <c r="X967" s="422"/>
      <c r="Y967" s="422"/>
      <c r="Z967" s="422"/>
    </row>
    <row r="968" spans="1:26" ht="15" thickBot="1">
      <c r="A968" s="422"/>
      <c r="B968" s="422"/>
      <c r="C968" s="422"/>
      <c r="D968" s="422"/>
      <c r="E968" s="422"/>
      <c r="F968" s="422"/>
      <c r="G968" s="422"/>
      <c r="H968" s="422"/>
      <c r="I968" s="422"/>
      <c r="J968" s="422"/>
      <c r="K968" s="422"/>
      <c r="L968" s="422"/>
      <c r="M968" s="422"/>
      <c r="N968" s="422"/>
      <c r="O968" s="422"/>
      <c r="P968" s="422"/>
      <c r="Q968" s="422"/>
      <c r="R968" s="422"/>
      <c r="S968" s="422"/>
      <c r="T968" s="422"/>
      <c r="U968" s="422"/>
      <c r="V968" s="422"/>
      <c r="W968" s="422"/>
      <c r="X968" s="422"/>
      <c r="Y968" s="422"/>
      <c r="Z968" s="422"/>
    </row>
    <row r="969" spans="1:26" ht="15" thickBot="1">
      <c r="A969" s="422"/>
      <c r="B969" s="422"/>
      <c r="C969" s="422"/>
      <c r="D969" s="422"/>
      <c r="E969" s="422"/>
      <c r="F969" s="422"/>
      <c r="G969" s="422"/>
      <c r="H969" s="422"/>
      <c r="I969" s="422"/>
      <c r="J969" s="422"/>
      <c r="K969" s="422"/>
      <c r="L969" s="422"/>
      <c r="M969" s="422"/>
      <c r="N969" s="422"/>
      <c r="O969" s="422"/>
      <c r="P969" s="422"/>
      <c r="Q969" s="422"/>
      <c r="R969" s="422"/>
      <c r="S969" s="422"/>
      <c r="T969" s="422"/>
      <c r="U969" s="422"/>
      <c r="V969" s="422"/>
      <c r="W969" s="422"/>
      <c r="X969" s="422"/>
      <c r="Y969" s="422"/>
      <c r="Z969" s="422"/>
    </row>
    <row r="970" spans="1:26" ht="15" thickBot="1">
      <c r="A970" s="422"/>
      <c r="B970" s="422"/>
      <c r="C970" s="422"/>
      <c r="D970" s="422"/>
      <c r="E970" s="422"/>
      <c r="F970" s="422"/>
      <c r="G970" s="422"/>
      <c r="H970" s="422"/>
      <c r="I970" s="422"/>
      <c r="J970" s="422"/>
      <c r="K970" s="422"/>
      <c r="L970" s="422"/>
      <c r="M970" s="422"/>
      <c r="N970" s="422"/>
      <c r="O970" s="422"/>
      <c r="P970" s="422"/>
      <c r="Q970" s="422"/>
      <c r="R970" s="422"/>
      <c r="S970" s="422"/>
      <c r="T970" s="422"/>
      <c r="U970" s="422"/>
      <c r="V970" s="422"/>
      <c r="W970" s="422"/>
      <c r="X970" s="422"/>
      <c r="Y970" s="422"/>
      <c r="Z970" s="422"/>
    </row>
    <row r="971" spans="1:26" ht="15" thickBot="1">
      <c r="A971" s="422"/>
      <c r="B971" s="422"/>
      <c r="C971" s="422"/>
      <c r="D971" s="422"/>
      <c r="E971" s="422"/>
      <c r="F971" s="422"/>
      <c r="G971" s="422"/>
      <c r="H971" s="422"/>
      <c r="I971" s="422"/>
      <c r="J971" s="422"/>
      <c r="K971" s="422"/>
      <c r="L971" s="422"/>
      <c r="M971" s="422"/>
      <c r="N971" s="422"/>
      <c r="O971" s="422"/>
      <c r="P971" s="422"/>
      <c r="Q971" s="422"/>
      <c r="R971" s="422"/>
      <c r="S971" s="422"/>
      <c r="T971" s="422"/>
      <c r="U971" s="422"/>
      <c r="V971" s="422"/>
      <c r="W971" s="422"/>
      <c r="X971" s="422"/>
      <c r="Y971" s="422"/>
      <c r="Z971" s="422"/>
    </row>
    <row r="972" spans="1:26" ht="15" thickBot="1">
      <c r="A972" s="422"/>
      <c r="B972" s="422"/>
      <c r="C972" s="422"/>
      <c r="D972" s="422"/>
      <c r="E972" s="422"/>
      <c r="F972" s="422"/>
      <c r="G972" s="422"/>
      <c r="H972" s="422"/>
      <c r="I972" s="422"/>
      <c r="J972" s="422"/>
      <c r="K972" s="422"/>
      <c r="L972" s="422"/>
      <c r="M972" s="422"/>
      <c r="N972" s="422"/>
      <c r="O972" s="422"/>
      <c r="P972" s="422"/>
      <c r="Q972" s="422"/>
      <c r="R972" s="422"/>
      <c r="S972" s="422"/>
      <c r="T972" s="422"/>
      <c r="U972" s="422"/>
      <c r="V972" s="422"/>
      <c r="W972" s="422"/>
      <c r="X972" s="422"/>
      <c r="Y972" s="422"/>
      <c r="Z972" s="422"/>
    </row>
    <row r="973" spans="1:26" ht="15" thickBot="1">
      <c r="A973" s="422"/>
      <c r="B973" s="422"/>
      <c r="C973" s="422"/>
      <c r="D973" s="422"/>
      <c r="E973" s="422"/>
      <c r="F973" s="422"/>
      <c r="G973" s="422"/>
      <c r="H973" s="422"/>
      <c r="I973" s="422"/>
      <c r="J973" s="422"/>
      <c r="K973" s="422"/>
      <c r="L973" s="422"/>
      <c r="M973" s="422"/>
      <c r="N973" s="422"/>
      <c r="O973" s="422"/>
      <c r="P973" s="422"/>
      <c r="Q973" s="422"/>
      <c r="R973" s="422"/>
      <c r="S973" s="422"/>
      <c r="T973" s="422"/>
      <c r="U973" s="422"/>
      <c r="V973" s="422"/>
      <c r="W973" s="422"/>
      <c r="X973" s="422"/>
      <c r="Y973" s="422"/>
      <c r="Z973" s="422"/>
    </row>
    <row r="974" spans="1:26" ht="15" thickBot="1">
      <c r="A974" s="422"/>
      <c r="B974" s="422"/>
      <c r="C974" s="422"/>
      <c r="D974" s="422"/>
      <c r="E974" s="422"/>
      <c r="F974" s="422"/>
      <c r="G974" s="422"/>
      <c r="H974" s="422"/>
      <c r="I974" s="422"/>
      <c r="J974" s="422"/>
      <c r="K974" s="422"/>
      <c r="L974" s="422"/>
      <c r="M974" s="422"/>
      <c r="N974" s="422"/>
      <c r="O974" s="422"/>
      <c r="P974" s="422"/>
      <c r="Q974" s="422"/>
      <c r="R974" s="422"/>
      <c r="S974" s="422"/>
      <c r="T974" s="422"/>
      <c r="U974" s="422"/>
      <c r="V974" s="422"/>
      <c r="W974" s="422"/>
      <c r="X974" s="422"/>
      <c r="Y974" s="422"/>
      <c r="Z974" s="422"/>
    </row>
    <row r="975" spans="1:26" ht="15" thickBot="1">
      <c r="A975" s="422"/>
      <c r="B975" s="422"/>
      <c r="C975" s="422"/>
      <c r="D975" s="422"/>
      <c r="E975" s="422"/>
      <c r="F975" s="422"/>
      <c r="G975" s="422"/>
      <c r="H975" s="422"/>
      <c r="I975" s="422"/>
      <c r="J975" s="422"/>
      <c r="K975" s="422"/>
      <c r="L975" s="422"/>
      <c r="M975" s="422"/>
      <c r="N975" s="422"/>
      <c r="O975" s="422"/>
      <c r="P975" s="422"/>
      <c r="Q975" s="422"/>
      <c r="R975" s="422"/>
      <c r="S975" s="422"/>
      <c r="T975" s="422"/>
      <c r="U975" s="422"/>
      <c r="V975" s="422"/>
      <c r="W975" s="422"/>
      <c r="X975" s="422"/>
      <c r="Y975" s="422"/>
      <c r="Z975" s="422"/>
    </row>
    <row r="976" spans="1:26" ht="15" thickBot="1">
      <c r="A976" s="422"/>
      <c r="B976" s="422"/>
      <c r="C976" s="422"/>
      <c r="D976" s="422"/>
      <c r="E976" s="422"/>
      <c r="F976" s="422"/>
      <c r="G976" s="422"/>
      <c r="H976" s="422"/>
      <c r="I976" s="422"/>
      <c r="J976" s="422"/>
      <c r="K976" s="422"/>
      <c r="L976" s="422"/>
      <c r="M976" s="422"/>
      <c r="N976" s="422"/>
      <c r="O976" s="422"/>
      <c r="P976" s="422"/>
      <c r="Q976" s="422"/>
      <c r="R976" s="422"/>
      <c r="S976" s="422"/>
      <c r="T976" s="422"/>
      <c r="U976" s="422"/>
      <c r="V976" s="422"/>
      <c r="W976" s="422"/>
      <c r="X976" s="422"/>
      <c r="Y976" s="422"/>
      <c r="Z976" s="422"/>
    </row>
    <row r="977" spans="1:26" ht="15" thickBot="1">
      <c r="A977" s="422"/>
      <c r="B977" s="422"/>
      <c r="C977" s="422"/>
      <c r="D977" s="422"/>
      <c r="E977" s="422"/>
      <c r="F977" s="422"/>
      <c r="G977" s="422"/>
      <c r="H977" s="422"/>
      <c r="I977" s="422"/>
      <c r="J977" s="422"/>
      <c r="K977" s="422"/>
      <c r="L977" s="422"/>
      <c r="M977" s="422"/>
      <c r="N977" s="422"/>
      <c r="O977" s="422"/>
      <c r="P977" s="422"/>
      <c r="Q977" s="422"/>
      <c r="R977" s="422"/>
      <c r="S977" s="422"/>
      <c r="T977" s="422"/>
      <c r="U977" s="422"/>
      <c r="V977" s="422"/>
      <c r="W977" s="422"/>
      <c r="X977" s="422"/>
      <c r="Y977" s="422"/>
      <c r="Z977" s="422"/>
    </row>
    <row r="978" spans="1:26" ht="15" thickBot="1">
      <c r="A978" s="422"/>
      <c r="B978" s="422"/>
      <c r="C978" s="422"/>
      <c r="D978" s="422"/>
      <c r="E978" s="422"/>
      <c r="F978" s="422"/>
      <c r="G978" s="422"/>
      <c r="H978" s="422"/>
      <c r="I978" s="422"/>
      <c r="J978" s="422"/>
      <c r="K978" s="422"/>
      <c r="L978" s="422"/>
      <c r="M978" s="422"/>
      <c r="N978" s="422"/>
      <c r="O978" s="422"/>
      <c r="P978" s="422"/>
      <c r="Q978" s="422"/>
      <c r="R978" s="422"/>
      <c r="S978" s="422"/>
      <c r="T978" s="422"/>
      <c r="U978" s="422"/>
      <c r="V978" s="422"/>
      <c r="W978" s="422"/>
      <c r="X978" s="422"/>
      <c r="Y978" s="422"/>
      <c r="Z978" s="422"/>
    </row>
    <row r="979" spans="1:26" ht="15" thickBot="1">
      <c r="A979" s="422"/>
      <c r="B979" s="422"/>
      <c r="C979" s="422"/>
      <c r="D979" s="422"/>
      <c r="E979" s="422"/>
      <c r="F979" s="422"/>
      <c r="G979" s="422"/>
      <c r="H979" s="422"/>
      <c r="I979" s="422"/>
      <c r="J979" s="422"/>
      <c r="K979" s="422"/>
      <c r="L979" s="422"/>
      <c r="M979" s="422"/>
      <c r="N979" s="422"/>
      <c r="O979" s="422"/>
      <c r="P979" s="422"/>
      <c r="Q979" s="422"/>
      <c r="R979" s="422"/>
      <c r="S979" s="422"/>
      <c r="T979" s="422"/>
      <c r="U979" s="422"/>
      <c r="V979" s="422"/>
      <c r="W979" s="422"/>
      <c r="X979" s="422"/>
      <c r="Y979" s="422"/>
      <c r="Z979" s="422"/>
    </row>
    <row r="980" spans="1:26" ht="15" thickBot="1">
      <c r="A980" s="422"/>
      <c r="B980" s="422"/>
      <c r="C980" s="422"/>
      <c r="D980" s="422"/>
      <c r="E980" s="422"/>
      <c r="F980" s="422"/>
      <c r="G980" s="422"/>
      <c r="H980" s="422"/>
      <c r="I980" s="422"/>
      <c r="J980" s="422"/>
      <c r="K980" s="422"/>
      <c r="L980" s="422"/>
      <c r="M980" s="422"/>
      <c r="N980" s="422"/>
      <c r="O980" s="422"/>
      <c r="P980" s="422"/>
      <c r="Q980" s="422"/>
      <c r="R980" s="422"/>
      <c r="S980" s="422"/>
      <c r="T980" s="422"/>
      <c r="U980" s="422"/>
      <c r="V980" s="422"/>
      <c r="W980" s="422"/>
      <c r="X980" s="422"/>
      <c r="Y980" s="422"/>
      <c r="Z980" s="422"/>
    </row>
    <row r="981" spans="1:26" ht="15" thickBot="1">
      <c r="A981" s="422"/>
      <c r="B981" s="422"/>
      <c r="C981" s="422"/>
      <c r="D981" s="422"/>
      <c r="E981" s="422"/>
      <c r="F981" s="422"/>
      <c r="G981" s="422"/>
      <c r="H981" s="422"/>
      <c r="I981" s="422"/>
      <c r="J981" s="422"/>
      <c r="K981" s="422"/>
      <c r="L981" s="422"/>
      <c r="M981" s="422"/>
      <c r="N981" s="422"/>
      <c r="O981" s="422"/>
      <c r="P981" s="422"/>
      <c r="Q981" s="422"/>
      <c r="R981" s="422"/>
      <c r="S981" s="422"/>
      <c r="T981" s="422"/>
      <c r="U981" s="422"/>
      <c r="V981" s="422"/>
      <c r="W981" s="422"/>
      <c r="X981" s="422"/>
      <c r="Y981" s="422"/>
      <c r="Z981" s="422"/>
    </row>
    <row r="982" spans="1:26" ht="15" thickBot="1">
      <c r="A982" s="422"/>
      <c r="B982" s="422"/>
      <c r="C982" s="422"/>
      <c r="D982" s="422"/>
      <c r="E982" s="422"/>
      <c r="F982" s="422"/>
      <c r="G982" s="422"/>
      <c r="H982" s="422"/>
      <c r="I982" s="422"/>
      <c r="J982" s="422"/>
      <c r="K982" s="422"/>
      <c r="L982" s="422"/>
      <c r="M982" s="422"/>
      <c r="N982" s="422"/>
      <c r="O982" s="422"/>
      <c r="P982" s="422"/>
      <c r="Q982" s="422"/>
      <c r="R982" s="422"/>
      <c r="S982" s="422"/>
      <c r="T982" s="422"/>
      <c r="U982" s="422"/>
      <c r="V982" s="422"/>
      <c r="W982" s="422"/>
      <c r="X982" s="422"/>
      <c r="Y982" s="422"/>
      <c r="Z982" s="422"/>
    </row>
    <row r="983" spans="1:26" ht="15" thickBot="1">
      <c r="A983" s="422"/>
      <c r="B983" s="422"/>
      <c r="C983" s="422"/>
      <c r="D983" s="422"/>
      <c r="E983" s="422"/>
      <c r="F983" s="422"/>
      <c r="G983" s="422"/>
      <c r="H983" s="422"/>
      <c r="I983" s="422"/>
      <c r="J983" s="422"/>
      <c r="K983" s="422"/>
      <c r="L983" s="422"/>
      <c r="M983" s="422"/>
      <c r="N983" s="422"/>
      <c r="O983" s="422"/>
      <c r="P983" s="422"/>
      <c r="Q983" s="422"/>
      <c r="R983" s="422"/>
      <c r="S983" s="422"/>
      <c r="T983" s="422"/>
      <c r="U983" s="422"/>
      <c r="V983" s="422"/>
      <c r="W983" s="422"/>
      <c r="X983" s="422"/>
      <c r="Y983" s="422"/>
      <c r="Z983" s="422"/>
    </row>
    <row r="984" spans="1:26" ht="15" thickBot="1">
      <c r="A984" s="422"/>
      <c r="B984" s="422"/>
      <c r="C984" s="422"/>
      <c r="D984" s="422"/>
      <c r="E984" s="422"/>
      <c r="F984" s="422"/>
      <c r="G984" s="422"/>
      <c r="H984" s="422"/>
      <c r="I984" s="422"/>
      <c r="J984" s="422"/>
      <c r="K984" s="422"/>
      <c r="L984" s="422"/>
      <c r="M984" s="422"/>
      <c r="N984" s="422"/>
      <c r="O984" s="422"/>
      <c r="P984" s="422"/>
      <c r="Q984" s="422"/>
      <c r="R984" s="422"/>
      <c r="S984" s="422"/>
      <c r="T984" s="422"/>
      <c r="U984" s="422"/>
      <c r="V984" s="422"/>
      <c r="W984" s="422"/>
      <c r="X984" s="422"/>
      <c r="Y984" s="422"/>
      <c r="Z984" s="422"/>
    </row>
    <row r="985" spans="1:26" ht="15" thickBot="1">
      <c r="A985" s="422"/>
      <c r="B985" s="422"/>
      <c r="C985" s="422"/>
      <c r="D985" s="422"/>
      <c r="E985" s="422"/>
      <c r="F985" s="422"/>
      <c r="G985" s="422"/>
      <c r="H985" s="422"/>
      <c r="I985" s="422"/>
      <c r="J985" s="422"/>
      <c r="K985" s="422"/>
      <c r="L985" s="422"/>
      <c r="M985" s="422"/>
      <c r="N985" s="422"/>
      <c r="O985" s="422"/>
      <c r="P985" s="422"/>
      <c r="Q985" s="422"/>
      <c r="R985" s="422"/>
      <c r="S985" s="422"/>
      <c r="T985" s="422"/>
      <c r="U985" s="422"/>
      <c r="V985" s="422"/>
      <c r="W985" s="422"/>
      <c r="X985" s="422"/>
      <c r="Y985" s="422"/>
      <c r="Z985" s="422"/>
    </row>
    <row r="986" spans="1:26" ht="15" thickBot="1">
      <c r="A986" s="422"/>
      <c r="B986" s="422"/>
      <c r="C986" s="422"/>
      <c r="D986" s="422"/>
      <c r="E986" s="422"/>
      <c r="F986" s="422"/>
      <c r="G986" s="422"/>
      <c r="H986" s="422"/>
      <c r="I986" s="422"/>
      <c r="J986" s="422"/>
      <c r="K986" s="422"/>
      <c r="L986" s="422"/>
      <c r="M986" s="422"/>
      <c r="N986" s="422"/>
      <c r="O986" s="422"/>
      <c r="P986" s="422"/>
      <c r="Q986" s="422"/>
      <c r="R986" s="422"/>
      <c r="S986" s="422"/>
      <c r="T986" s="422"/>
      <c r="U986" s="422"/>
      <c r="V986" s="422"/>
      <c r="W986" s="422"/>
      <c r="X986" s="422"/>
      <c r="Y986" s="422"/>
      <c r="Z986" s="422"/>
    </row>
    <row r="987" spans="1:26" ht="15" thickBot="1">
      <c r="A987" s="422"/>
      <c r="B987" s="422"/>
      <c r="C987" s="422"/>
      <c r="D987" s="422"/>
      <c r="E987" s="422"/>
      <c r="F987" s="422"/>
      <c r="G987" s="422"/>
      <c r="H987" s="422"/>
      <c r="I987" s="422"/>
      <c r="J987" s="422"/>
      <c r="K987" s="422"/>
      <c r="L987" s="422"/>
      <c r="M987" s="422"/>
      <c r="N987" s="422"/>
      <c r="O987" s="422"/>
      <c r="P987" s="422"/>
      <c r="Q987" s="422"/>
      <c r="R987" s="422"/>
      <c r="S987" s="422"/>
      <c r="T987" s="422"/>
      <c r="U987" s="422"/>
      <c r="V987" s="422"/>
      <c r="W987" s="422"/>
      <c r="X987" s="422"/>
      <c r="Y987" s="422"/>
      <c r="Z987" s="422"/>
    </row>
    <row r="988" spans="1:26" ht="15" thickBot="1">
      <c r="A988" s="422"/>
      <c r="B988" s="422"/>
      <c r="C988" s="422"/>
      <c r="D988" s="422"/>
      <c r="E988" s="422"/>
      <c r="F988" s="422"/>
      <c r="G988" s="422"/>
      <c r="H988" s="422"/>
      <c r="I988" s="422"/>
      <c r="J988" s="422"/>
      <c r="K988" s="422"/>
      <c r="L988" s="422"/>
      <c r="M988" s="422"/>
      <c r="N988" s="422"/>
      <c r="O988" s="422"/>
      <c r="P988" s="422"/>
      <c r="Q988" s="422"/>
      <c r="R988" s="422"/>
      <c r="S988" s="422"/>
      <c r="T988" s="422"/>
      <c r="U988" s="422"/>
      <c r="V988" s="422"/>
      <c r="W988" s="422"/>
      <c r="X988" s="422"/>
      <c r="Y988" s="422"/>
      <c r="Z988" s="422"/>
    </row>
    <row r="989" spans="1:26" ht="15" thickBot="1">
      <c r="A989" s="422"/>
      <c r="B989" s="422"/>
      <c r="C989" s="422"/>
      <c r="D989" s="422"/>
      <c r="E989" s="422"/>
      <c r="F989" s="422"/>
      <c r="G989" s="422"/>
      <c r="H989" s="422"/>
      <c r="I989" s="422"/>
      <c r="J989" s="422"/>
      <c r="K989" s="422"/>
      <c r="L989" s="422"/>
      <c r="M989" s="422"/>
      <c r="N989" s="422"/>
      <c r="O989" s="422"/>
      <c r="P989" s="422"/>
      <c r="Q989" s="422"/>
      <c r="R989" s="422"/>
      <c r="S989" s="422"/>
      <c r="T989" s="422"/>
      <c r="U989" s="422"/>
      <c r="V989" s="422"/>
      <c r="W989" s="422"/>
      <c r="X989" s="422"/>
      <c r="Y989" s="422"/>
      <c r="Z989" s="422"/>
    </row>
    <row r="990" spans="1:26" ht="15" thickBot="1">
      <c r="A990" s="422"/>
      <c r="B990" s="422"/>
      <c r="C990" s="422"/>
      <c r="D990" s="422"/>
      <c r="E990" s="422"/>
      <c r="F990" s="422"/>
      <c r="G990" s="422"/>
      <c r="H990" s="422"/>
      <c r="I990" s="422"/>
      <c r="J990" s="422"/>
      <c r="K990" s="422"/>
      <c r="L990" s="422"/>
      <c r="M990" s="422"/>
      <c r="N990" s="422"/>
      <c r="O990" s="422"/>
      <c r="P990" s="422"/>
      <c r="Q990" s="422"/>
      <c r="R990" s="422"/>
      <c r="S990" s="422"/>
      <c r="T990" s="422"/>
      <c r="U990" s="422"/>
      <c r="V990" s="422"/>
      <c r="W990" s="422"/>
      <c r="X990" s="422"/>
      <c r="Y990" s="422"/>
      <c r="Z990" s="422"/>
    </row>
    <row r="991" spans="1:26" ht="15" thickBot="1">
      <c r="A991" s="422"/>
      <c r="B991" s="422"/>
      <c r="C991" s="422"/>
      <c r="D991" s="422"/>
      <c r="E991" s="422"/>
      <c r="F991" s="422"/>
      <c r="G991" s="422"/>
      <c r="H991" s="422"/>
      <c r="I991" s="422"/>
      <c r="J991" s="422"/>
      <c r="K991" s="422"/>
      <c r="L991" s="422"/>
      <c r="M991" s="422"/>
      <c r="N991" s="422"/>
      <c r="O991" s="422"/>
      <c r="P991" s="422"/>
      <c r="Q991" s="422"/>
      <c r="R991" s="422"/>
      <c r="S991" s="422"/>
      <c r="T991" s="422"/>
      <c r="U991" s="422"/>
      <c r="V991" s="422"/>
      <c r="W991" s="422"/>
      <c r="X991" s="422"/>
      <c r="Y991" s="422"/>
      <c r="Z991" s="422"/>
    </row>
    <row r="992" spans="1:26" ht="15" thickBot="1">
      <c r="A992" s="422"/>
      <c r="B992" s="422"/>
      <c r="C992" s="422"/>
      <c r="D992" s="422"/>
      <c r="E992" s="422"/>
      <c r="F992" s="422"/>
      <c r="G992" s="422"/>
      <c r="H992" s="422"/>
      <c r="I992" s="422"/>
      <c r="J992" s="422"/>
      <c r="K992" s="422"/>
      <c r="L992" s="422"/>
      <c r="M992" s="422"/>
      <c r="N992" s="422"/>
      <c r="O992" s="422"/>
      <c r="P992" s="422"/>
      <c r="Q992" s="422"/>
      <c r="R992" s="422"/>
      <c r="S992" s="422"/>
      <c r="T992" s="422"/>
      <c r="U992" s="422"/>
      <c r="V992" s="422"/>
      <c r="W992" s="422"/>
      <c r="X992" s="422"/>
      <c r="Y992" s="422"/>
      <c r="Z992" s="422"/>
    </row>
    <row r="993" spans="1:26" ht="15" thickBot="1">
      <c r="A993" s="422"/>
      <c r="B993" s="422"/>
      <c r="C993" s="422"/>
      <c r="D993" s="422"/>
      <c r="E993" s="422"/>
      <c r="F993" s="422"/>
      <c r="G993" s="422"/>
      <c r="H993" s="422"/>
      <c r="I993" s="422"/>
      <c r="J993" s="422"/>
      <c r="K993" s="422"/>
      <c r="L993" s="422"/>
      <c r="M993" s="422"/>
      <c r="N993" s="422"/>
      <c r="O993" s="422"/>
      <c r="P993" s="422"/>
      <c r="Q993" s="422"/>
      <c r="R993" s="422"/>
      <c r="S993" s="422"/>
      <c r="T993" s="422"/>
      <c r="U993" s="422"/>
      <c r="V993" s="422"/>
      <c r="W993" s="422"/>
      <c r="X993" s="422"/>
      <c r="Y993" s="422"/>
      <c r="Z993" s="422"/>
    </row>
    <row r="994" spans="1:26" ht="15" thickBot="1">
      <c r="A994" s="422"/>
      <c r="B994" s="422"/>
      <c r="C994" s="422"/>
      <c r="D994" s="422"/>
      <c r="E994" s="422"/>
      <c r="F994" s="422"/>
      <c r="G994" s="422"/>
      <c r="H994" s="422"/>
      <c r="I994" s="422"/>
      <c r="J994" s="422"/>
      <c r="K994" s="422"/>
      <c r="L994" s="422"/>
      <c r="M994" s="422"/>
      <c r="N994" s="422"/>
      <c r="O994" s="422"/>
      <c r="P994" s="422"/>
      <c r="Q994" s="422"/>
      <c r="R994" s="422"/>
      <c r="S994" s="422"/>
      <c r="T994" s="422"/>
      <c r="U994" s="422"/>
      <c r="V994" s="422"/>
      <c r="W994" s="422"/>
      <c r="X994" s="422"/>
      <c r="Y994" s="422"/>
      <c r="Z994" s="422"/>
    </row>
    <row r="995" spans="1:26" ht="15" thickBot="1">
      <c r="A995" s="422"/>
      <c r="B995" s="422"/>
      <c r="C995" s="422"/>
      <c r="D995" s="422"/>
      <c r="E995" s="422"/>
      <c r="F995" s="422"/>
      <c r="G995" s="422"/>
      <c r="H995" s="422"/>
      <c r="I995" s="422"/>
      <c r="J995" s="422"/>
      <c r="K995" s="422"/>
      <c r="L995" s="422"/>
      <c r="M995" s="422"/>
      <c r="N995" s="422"/>
      <c r="O995" s="422"/>
      <c r="P995" s="422"/>
      <c r="Q995" s="422"/>
      <c r="R995" s="422"/>
      <c r="S995" s="422"/>
      <c r="T995" s="422"/>
      <c r="U995" s="422"/>
      <c r="V995" s="422"/>
      <c r="W995" s="422"/>
      <c r="X995" s="422"/>
      <c r="Y995" s="422"/>
      <c r="Z995" s="422"/>
    </row>
    <row r="996" spans="1:26" ht="15" thickBot="1">
      <c r="A996" s="422"/>
      <c r="B996" s="422"/>
      <c r="C996" s="422"/>
      <c r="D996" s="422"/>
      <c r="E996" s="422"/>
      <c r="F996" s="422"/>
      <c r="G996" s="422"/>
      <c r="H996" s="422"/>
      <c r="I996" s="422"/>
      <c r="J996" s="422"/>
      <c r="K996" s="422"/>
      <c r="L996" s="422"/>
      <c r="M996" s="422"/>
      <c r="N996" s="422"/>
      <c r="O996" s="422"/>
      <c r="P996" s="422"/>
      <c r="Q996" s="422"/>
      <c r="R996" s="422"/>
      <c r="S996" s="422"/>
      <c r="T996" s="422"/>
      <c r="U996" s="422"/>
      <c r="V996" s="422"/>
      <c r="W996" s="422"/>
      <c r="X996" s="422"/>
      <c r="Y996" s="422"/>
      <c r="Z996" s="422"/>
    </row>
    <row r="997" spans="1:26" ht="15" thickBot="1">
      <c r="A997" s="422"/>
      <c r="B997" s="422"/>
      <c r="C997" s="422"/>
      <c r="D997" s="422"/>
      <c r="E997" s="422"/>
      <c r="F997" s="422"/>
      <c r="G997" s="422"/>
      <c r="H997" s="422"/>
      <c r="I997" s="422"/>
      <c r="J997" s="422"/>
      <c r="K997" s="422"/>
      <c r="L997" s="422"/>
      <c r="M997" s="422"/>
      <c r="N997" s="422"/>
      <c r="O997" s="422"/>
      <c r="P997" s="422"/>
      <c r="Q997" s="422"/>
      <c r="R997" s="422"/>
      <c r="S997" s="422"/>
      <c r="T997" s="422"/>
      <c r="U997" s="422"/>
      <c r="V997" s="422"/>
      <c r="W997" s="422"/>
      <c r="X997" s="422"/>
      <c r="Y997" s="422"/>
      <c r="Z997" s="422"/>
    </row>
    <row r="998" spans="1:26" ht="15" thickBot="1">
      <c r="A998" s="422"/>
      <c r="B998" s="422"/>
      <c r="C998" s="422"/>
      <c r="D998" s="422"/>
      <c r="E998" s="422"/>
      <c r="F998" s="422"/>
      <c r="G998" s="422"/>
      <c r="H998" s="422"/>
      <c r="I998" s="422"/>
      <c r="J998" s="422"/>
      <c r="K998" s="422"/>
      <c r="L998" s="422"/>
      <c r="M998" s="422"/>
      <c r="N998" s="422"/>
      <c r="O998" s="422"/>
      <c r="P998" s="422"/>
      <c r="Q998" s="422"/>
      <c r="R998" s="422"/>
      <c r="S998" s="422"/>
      <c r="T998" s="422"/>
      <c r="U998" s="422"/>
      <c r="V998" s="422"/>
      <c r="W998" s="422"/>
      <c r="X998" s="422"/>
      <c r="Y998" s="422"/>
      <c r="Z998" s="422"/>
    </row>
    <row r="999" spans="1:26" ht="15" thickBot="1">
      <c r="A999" s="422"/>
      <c r="B999" s="422"/>
      <c r="C999" s="422"/>
      <c r="D999" s="422"/>
      <c r="E999" s="422"/>
      <c r="F999" s="422"/>
      <c r="G999" s="422"/>
      <c r="H999" s="422"/>
      <c r="I999" s="422"/>
      <c r="J999" s="422"/>
      <c r="K999" s="422"/>
      <c r="L999" s="422"/>
      <c r="M999" s="422"/>
      <c r="N999" s="422"/>
      <c r="O999" s="422"/>
      <c r="P999" s="422"/>
      <c r="Q999" s="422"/>
      <c r="R999" s="422"/>
      <c r="S999" s="422"/>
      <c r="T999" s="422"/>
      <c r="U999" s="422"/>
      <c r="V999" s="422"/>
      <c r="W999" s="422"/>
      <c r="X999" s="422"/>
      <c r="Y999" s="422"/>
      <c r="Z999" s="422"/>
    </row>
    <row r="1000" spans="1:26" ht="15" thickBot="1">
      <c r="A1000" s="422"/>
      <c r="B1000" s="422"/>
      <c r="C1000" s="422"/>
      <c r="D1000" s="422"/>
      <c r="E1000" s="422"/>
      <c r="F1000" s="422"/>
      <c r="G1000" s="422"/>
      <c r="H1000" s="422"/>
      <c r="I1000" s="422"/>
      <c r="J1000" s="422"/>
      <c r="K1000" s="422"/>
      <c r="L1000" s="422"/>
      <c r="M1000" s="422"/>
      <c r="N1000" s="422"/>
      <c r="O1000" s="422"/>
      <c r="P1000" s="422"/>
      <c r="Q1000" s="422"/>
      <c r="R1000" s="422"/>
      <c r="S1000" s="422"/>
      <c r="T1000" s="422"/>
      <c r="U1000" s="422"/>
      <c r="V1000" s="422"/>
      <c r="W1000" s="422"/>
      <c r="X1000" s="422"/>
      <c r="Y1000" s="422"/>
      <c r="Z1000" s="422"/>
    </row>
    <row r="1001" spans="1:26" ht="15" thickBot="1">
      <c r="A1001" s="422"/>
      <c r="B1001" s="422"/>
      <c r="C1001" s="422"/>
      <c r="D1001" s="422"/>
      <c r="E1001" s="422"/>
      <c r="F1001" s="422"/>
      <c r="G1001" s="422"/>
      <c r="H1001" s="422"/>
      <c r="I1001" s="422"/>
      <c r="J1001" s="422"/>
      <c r="K1001" s="422"/>
      <c r="L1001" s="422"/>
      <c r="M1001" s="422"/>
      <c r="N1001" s="422"/>
      <c r="O1001" s="422"/>
      <c r="P1001" s="422"/>
      <c r="Q1001" s="422"/>
      <c r="R1001" s="422"/>
      <c r="S1001" s="422"/>
      <c r="T1001" s="422"/>
      <c r="U1001" s="422"/>
      <c r="V1001" s="422"/>
      <c r="W1001" s="422"/>
      <c r="X1001" s="422"/>
      <c r="Y1001" s="422"/>
      <c r="Z1001" s="422"/>
    </row>
    <row r="1002" spans="1:26" ht="15" thickBot="1">
      <c r="A1002" s="422"/>
      <c r="B1002" s="422"/>
      <c r="C1002" s="422"/>
      <c r="D1002" s="422"/>
      <c r="E1002" s="422"/>
      <c r="F1002" s="422"/>
      <c r="G1002" s="422"/>
      <c r="H1002" s="422"/>
      <c r="I1002" s="422"/>
      <c r="J1002" s="422"/>
      <c r="K1002" s="422"/>
      <c r="L1002" s="422"/>
      <c r="M1002" s="422"/>
      <c r="N1002" s="422"/>
      <c r="O1002" s="422"/>
      <c r="P1002" s="422"/>
      <c r="Q1002" s="422"/>
      <c r="R1002" s="422"/>
      <c r="S1002" s="422"/>
      <c r="T1002" s="422"/>
      <c r="U1002" s="422"/>
      <c r="V1002" s="422"/>
      <c r="W1002" s="422"/>
      <c r="X1002" s="422"/>
      <c r="Y1002" s="422"/>
      <c r="Z1002" s="422"/>
    </row>
    <row r="1003" spans="1:26" ht="15" thickBot="1">
      <c r="A1003" s="422"/>
      <c r="B1003" s="422"/>
      <c r="C1003" s="422"/>
      <c r="D1003" s="422"/>
      <c r="E1003" s="422"/>
      <c r="F1003" s="422"/>
      <c r="G1003" s="422"/>
      <c r="H1003" s="422"/>
      <c r="I1003" s="422"/>
      <c r="J1003" s="422"/>
      <c r="K1003" s="422"/>
      <c r="L1003" s="422"/>
      <c r="M1003" s="422"/>
      <c r="N1003" s="422"/>
      <c r="O1003" s="422"/>
      <c r="P1003" s="422"/>
      <c r="Q1003" s="422"/>
      <c r="R1003" s="422"/>
      <c r="S1003" s="422"/>
      <c r="T1003" s="422"/>
      <c r="U1003" s="422"/>
      <c r="V1003" s="422"/>
      <c r="W1003" s="422"/>
      <c r="X1003" s="422"/>
      <c r="Y1003" s="422"/>
      <c r="Z1003" s="422"/>
    </row>
    <row r="1004" spans="1:26" ht="15" thickBot="1">
      <c r="A1004" s="422"/>
      <c r="B1004" s="422"/>
      <c r="C1004" s="422"/>
      <c r="D1004" s="422"/>
      <c r="E1004" s="422"/>
      <c r="F1004" s="422"/>
      <c r="G1004" s="422"/>
      <c r="H1004" s="422"/>
      <c r="I1004" s="422"/>
      <c r="J1004" s="422"/>
      <c r="K1004" s="422"/>
      <c r="L1004" s="422"/>
      <c r="M1004" s="422"/>
      <c r="N1004" s="422"/>
      <c r="O1004" s="422"/>
      <c r="P1004" s="422"/>
      <c r="Q1004" s="422"/>
      <c r="R1004" s="422"/>
      <c r="S1004" s="422"/>
      <c r="T1004" s="422"/>
      <c r="U1004" s="422"/>
      <c r="V1004" s="422"/>
      <c r="W1004" s="422"/>
      <c r="X1004" s="422"/>
      <c r="Y1004" s="422"/>
      <c r="Z1004" s="422"/>
    </row>
    <row r="1005" spans="1:26" ht="15" thickBot="1">
      <c r="A1005" s="422"/>
      <c r="B1005" s="422"/>
      <c r="C1005" s="422"/>
      <c r="D1005" s="422"/>
      <c r="E1005" s="422"/>
      <c r="F1005" s="422"/>
      <c r="G1005" s="422"/>
      <c r="H1005" s="422"/>
      <c r="I1005" s="422"/>
      <c r="J1005" s="422"/>
      <c r="K1005" s="422"/>
      <c r="L1005" s="422"/>
      <c r="M1005" s="422"/>
      <c r="N1005" s="422"/>
      <c r="O1005" s="422"/>
      <c r="P1005" s="422"/>
      <c r="Q1005" s="422"/>
      <c r="R1005" s="422"/>
      <c r="S1005" s="422"/>
      <c r="T1005" s="422"/>
      <c r="U1005" s="422"/>
      <c r="V1005" s="422"/>
      <c r="W1005" s="422"/>
      <c r="X1005" s="422"/>
      <c r="Y1005" s="422"/>
      <c r="Z1005" s="422"/>
    </row>
    <row r="1006" spans="1:26" ht="15" thickBot="1">
      <c r="A1006" s="422"/>
      <c r="B1006" s="422"/>
      <c r="C1006" s="422"/>
      <c r="D1006" s="422"/>
      <c r="E1006" s="422"/>
      <c r="F1006" s="422"/>
      <c r="G1006" s="422"/>
      <c r="H1006" s="422"/>
      <c r="I1006" s="422"/>
      <c r="J1006" s="422"/>
      <c r="K1006" s="422"/>
      <c r="L1006" s="422"/>
      <c r="M1006" s="422"/>
      <c r="N1006" s="422"/>
      <c r="O1006" s="422"/>
      <c r="P1006" s="422"/>
      <c r="Q1006" s="422"/>
      <c r="R1006" s="422"/>
      <c r="S1006" s="422"/>
      <c r="T1006" s="422"/>
      <c r="U1006" s="422"/>
      <c r="V1006" s="422"/>
      <c r="W1006" s="422"/>
      <c r="X1006" s="422"/>
      <c r="Y1006" s="422"/>
      <c r="Z1006" s="422"/>
    </row>
    <row r="1007" spans="1:26" ht="15" thickBot="1">
      <c r="A1007" s="422"/>
      <c r="B1007" s="422"/>
      <c r="C1007" s="422"/>
      <c r="D1007" s="422"/>
      <c r="E1007" s="422"/>
      <c r="F1007" s="422"/>
      <c r="G1007" s="422"/>
      <c r="H1007" s="422"/>
      <c r="I1007" s="422"/>
      <c r="J1007" s="422"/>
      <c r="K1007" s="422"/>
      <c r="L1007" s="422"/>
      <c r="M1007" s="422"/>
      <c r="N1007" s="422"/>
      <c r="O1007" s="422"/>
      <c r="P1007" s="422"/>
      <c r="Q1007" s="422"/>
      <c r="R1007" s="422"/>
      <c r="S1007" s="422"/>
      <c r="T1007" s="422"/>
      <c r="U1007" s="422"/>
      <c r="V1007" s="422"/>
      <c r="W1007" s="422"/>
      <c r="X1007" s="422"/>
      <c r="Y1007" s="422"/>
      <c r="Z1007" s="422"/>
    </row>
    <row r="1008" spans="1:26" ht="15" thickBot="1">
      <c r="A1008" s="422"/>
      <c r="B1008" s="422"/>
      <c r="C1008" s="422"/>
      <c r="D1008" s="422"/>
      <c r="E1008" s="422"/>
      <c r="F1008" s="422"/>
      <c r="G1008" s="422"/>
      <c r="H1008" s="422"/>
      <c r="I1008" s="422"/>
      <c r="J1008" s="422"/>
      <c r="K1008" s="422"/>
      <c r="L1008" s="422"/>
      <c r="M1008" s="422"/>
      <c r="N1008" s="422"/>
      <c r="O1008" s="422"/>
      <c r="P1008" s="422"/>
      <c r="Q1008" s="422"/>
      <c r="R1008" s="422"/>
      <c r="S1008" s="422"/>
      <c r="T1008" s="422"/>
      <c r="U1008" s="422"/>
      <c r="V1008" s="422"/>
      <c r="W1008" s="422"/>
      <c r="X1008" s="422"/>
      <c r="Y1008" s="422"/>
      <c r="Z1008" s="422"/>
    </row>
    <row r="1009" spans="1:26" ht="15" thickBot="1">
      <c r="A1009" s="422"/>
      <c r="B1009" s="422"/>
      <c r="C1009" s="422"/>
      <c r="D1009" s="422"/>
      <c r="E1009" s="422"/>
      <c r="F1009" s="422"/>
      <c r="G1009" s="422"/>
      <c r="H1009" s="422"/>
      <c r="I1009" s="422"/>
      <c r="J1009" s="422"/>
      <c r="K1009" s="422"/>
      <c r="L1009" s="422"/>
      <c r="M1009" s="422"/>
      <c r="N1009" s="422"/>
      <c r="O1009" s="422"/>
      <c r="P1009" s="422"/>
      <c r="Q1009" s="422"/>
      <c r="R1009" s="422"/>
      <c r="S1009" s="422"/>
      <c r="T1009" s="422"/>
      <c r="U1009" s="422"/>
      <c r="V1009" s="422"/>
      <c r="W1009" s="422"/>
      <c r="X1009" s="422"/>
      <c r="Y1009" s="422"/>
      <c r="Z1009" s="422"/>
    </row>
    <row r="1010" spans="1:26" ht="15" thickBot="1">
      <c r="A1010" s="422"/>
      <c r="B1010" s="422"/>
      <c r="C1010" s="422"/>
      <c r="D1010" s="422"/>
      <c r="E1010" s="422"/>
      <c r="F1010" s="422"/>
      <c r="G1010" s="422"/>
      <c r="H1010" s="422"/>
      <c r="I1010" s="422"/>
      <c r="J1010" s="422"/>
      <c r="K1010" s="422"/>
      <c r="L1010" s="422"/>
      <c r="M1010" s="422"/>
      <c r="N1010" s="422"/>
      <c r="O1010" s="422"/>
      <c r="P1010" s="422"/>
      <c r="Q1010" s="422"/>
      <c r="R1010" s="422"/>
      <c r="S1010" s="422"/>
      <c r="T1010" s="422"/>
      <c r="U1010" s="422"/>
      <c r="V1010" s="422"/>
      <c r="W1010" s="422"/>
      <c r="X1010" s="422"/>
      <c r="Y1010" s="422"/>
      <c r="Z1010" s="422"/>
    </row>
    <row r="1011" spans="1:26" ht="15" thickBot="1">
      <c r="A1011" s="422"/>
      <c r="B1011" s="422"/>
      <c r="C1011" s="422"/>
      <c r="D1011" s="422"/>
      <c r="E1011" s="422"/>
      <c r="F1011" s="422"/>
      <c r="G1011" s="422"/>
      <c r="H1011" s="422"/>
      <c r="I1011" s="422"/>
      <c r="J1011" s="422"/>
      <c r="K1011" s="422"/>
      <c r="L1011" s="422"/>
      <c r="M1011" s="422"/>
      <c r="N1011" s="422"/>
      <c r="O1011" s="422"/>
      <c r="P1011" s="422"/>
      <c r="Q1011" s="422"/>
      <c r="R1011" s="422"/>
      <c r="S1011" s="422"/>
      <c r="T1011" s="422"/>
      <c r="U1011" s="422"/>
      <c r="V1011" s="422"/>
      <c r="W1011" s="422"/>
      <c r="X1011" s="422"/>
      <c r="Y1011" s="422"/>
      <c r="Z1011" s="422"/>
    </row>
    <row r="1012" spans="1:26" ht="15" thickBot="1">
      <c r="A1012" s="422"/>
      <c r="B1012" s="422"/>
      <c r="C1012" s="422"/>
      <c r="D1012" s="422"/>
      <c r="E1012" s="422"/>
      <c r="F1012" s="422"/>
      <c r="G1012" s="422"/>
      <c r="H1012" s="422"/>
      <c r="I1012" s="422"/>
      <c r="J1012" s="422"/>
      <c r="K1012" s="422"/>
      <c r="L1012" s="422"/>
      <c r="M1012" s="422"/>
      <c r="N1012" s="422"/>
      <c r="O1012" s="422"/>
      <c r="P1012" s="422"/>
      <c r="Q1012" s="422"/>
      <c r="R1012" s="422"/>
      <c r="S1012" s="422"/>
      <c r="T1012" s="422"/>
      <c r="U1012" s="422"/>
      <c r="V1012" s="422"/>
      <c r="W1012" s="422"/>
      <c r="X1012" s="422"/>
      <c r="Y1012" s="422"/>
      <c r="Z1012" s="422"/>
    </row>
    <row r="1013" spans="1:26" ht="15" thickBot="1">
      <c r="A1013" s="422"/>
      <c r="B1013" s="422"/>
      <c r="C1013" s="422"/>
      <c r="D1013" s="422"/>
      <c r="E1013" s="422"/>
      <c r="F1013" s="422"/>
      <c r="G1013" s="422"/>
      <c r="H1013" s="422"/>
      <c r="I1013" s="422"/>
      <c r="J1013" s="422"/>
      <c r="K1013" s="422"/>
      <c r="L1013" s="422"/>
      <c r="M1013" s="422"/>
      <c r="N1013" s="422"/>
      <c r="O1013" s="422"/>
      <c r="P1013" s="422"/>
      <c r="Q1013" s="422"/>
      <c r="R1013" s="422"/>
      <c r="S1013" s="422"/>
      <c r="T1013" s="422"/>
      <c r="U1013" s="422"/>
      <c r="V1013" s="422"/>
      <c r="W1013" s="422"/>
      <c r="X1013" s="422"/>
      <c r="Y1013" s="422"/>
      <c r="Z1013" s="422"/>
    </row>
    <row r="1014" spans="1:26" ht="15" thickBot="1">
      <c r="A1014" s="422"/>
      <c r="B1014" s="422"/>
      <c r="C1014" s="422"/>
      <c r="D1014" s="422"/>
      <c r="E1014" s="422"/>
      <c r="F1014" s="422"/>
      <c r="G1014" s="422"/>
      <c r="H1014" s="422"/>
      <c r="I1014" s="422"/>
      <c r="J1014" s="422"/>
      <c r="K1014" s="422"/>
      <c r="L1014" s="422"/>
      <c r="M1014" s="422"/>
      <c r="N1014" s="422"/>
      <c r="O1014" s="422"/>
      <c r="P1014" s="422"/>
      <c r="Q1014" s="422"/>
      <c r="R1014" s="422"/>
      <c r="S1014" s="422"/>
      <c r="T1014" s="422"/>
      <c r="U1014" s="422"/>
      <c r="V1014" s="422"/>
      <c r="W1014" s="422"/>
      <c r="X1014" s="422"/>
      <c r="Y1014" s="422"/>
      <c r="Z1014" s="422"/>
    </row>
    <row r="1015" spans="1:26" ht="15" thickBot="1">
      <c r="A1015" s="422"/>
      <c r="B1015" s="422"/>
      <c r="C1015" s="422"/>
      <c r="D1015" s="422"/>
      <c r="E1015" s="422"/>
      <c r="F1015" s="422"/>
      <c r="G1015" s="422"/>
      <c r="H1015" s="422"/>
      <c r="I1015" s="422"/>
      <c r="J1015" s="422"/>
      <c r="K1015" s="422"/>
      <c r="L1015" s="422"/>
      <c r="M1015" s="422"/>
      <c r="N1015" s="422"/>
      <c r="O1015" s="422"/>
      <c r="P1015" s="422"/>
      <c r="Q1015" s="422"/>
      <c r="R1015" s="422"/>
      <c r="S1015" s="422"/>
      <c r="T1015" s="422"/>
      <c r="U1015" s="422"/>
      <c r="V1015" s="422"/>
      <c r="W1015" s="422"/>
      <c r="X1015" s="422"/>
      <c r="Y1015" s="422"/>
      <c r="Z1015" s="422"/>
    </row>
    <row r="1016" spans="1:26" ht="15" thickBot="1">
      <c r="A1016" s="422"/>
      <c r="B1016" s="422"/>
      <c r="C1016" s="422"/>
      <c r="D1016" s="422"/>
      <c r="E1016" s="422"/>
      <c r="F1016" s="422"/>
      <c r="G1016" s="422"/>
      <c r="H1016" s="422"/>
      <c r="I1016" s="422"/>
      <c r="J1016" s="422"/>
      <c r="K1016" s="422"/>
      <c r="L1016" s="422"/>
      <c r="M1016" s="422"/>
      <c r="N1016" s="422"/>
      <c r="O1016" s="422"/>
      <c r="P1016" s="422"/>
      <c r="Q1016" s="422"/>
      <c r="R1016" s="422"/>
      <c r="S1016" s="422"/>
      <c r="T1016" s="422"/>
      <c r="U1016" s="422"/>
      <c r="V1016" s="422"/>
      <c r="W1016" s="422"/>
      <c r="X1016" s="422"/>
      <c r="Y1016" s="422"/>
      <c r="Z1016" s="422"/>
    </row>
    <row r="1017" spans="1:26" ht="15" thickBot="1">
      <c r="A1017" s="422"/>
      <c r="B1017" s="422"/>
      <c r="C1017" s="422"/>
      <c r="D1017" s="422"/>
      <c r="E1017" s="422"/>
      <c r="F1017" s="422"/>
      <c r="G1017" s="422"/>
      <c r="H1017" s="422"/>
      <c r="I1017" s="422"/>
      <c r="J1017" s="422"/>
      <c r="K1017" s="422"/>
      <c r="L1017" s="422"/>
      <c r="M1017" s="422"/>
      <c r="N1017" s="422"/>
      <c r="O1017" s="422"/>
      <c r="P1017" s="422"/>
      <c r="Q1017" s="422"/>
      <c r="R1017" s="422"/>
      <c r="S1017" s="422"/>
      <c r="T1017" s="422"/>
      <c r="U1017" s="422"/>
      <c r="V1017" s="422"/>
      <c r="W1017" s="422"/>
      <c r="X1017" s="422"/>
      <c r="Y1017" s="422"/>
      <c r="Z1017" s="422"/>
    </row>
    <row r="1018" spans="1:26" ht="15" thickBot="1">
      <c r="A1018" s="422"/>
      <c r="B1018" s="422"/>
      <c r="C1018" s="422"/>
      <c r="D1018" s="422"/>
      <c r="E1018" s="422"/>
      <c r="F1018" s="422"/>
      <c r="G1018" s="422"/>
      <c r="H1018" s="422"/>
      <c r="I1018" s="422"/>
      <c r="J1018" s="422"/>
      <c r="K1018" s="422"/>
      <c r="L1018" s="422"/>
      <c r="M1018" s="422"/>
      <c r="N1018" s="422"/>
      <c r="O1018" s="422"/>
      <c r="P1018" s="422"/>
      <c r="Q1018" s="422"/>
      <c r="R1018" s="422"/>
      <c r="S1018" s="422"/>
      <c r="T1018" s="422"/>
      <c r="U1018" s="422"/>
      <c r="V1018" s="422"/>
      <c r="W1018" s="422"/>
      <c r="X1018" s="422"/>
      <c r="Y1018" s="422"/>
      <c r="Z1018" s="422"/>
    </row>
    <row r="1019" spans="1:26" ht="15" thickBot="1">
      <c r="A1019" s="422"/>
      <c r="B1019" s="422"/>
      <c r="C1019" s="422"/>
      <c r="D1019" s="422"/>
      <c r="E1019" s="422"/>
      <c r="F1019" s="422"/>
      <c r="G1019" s="422"/>
      <c r="H1019" s="422"/>
      <c r="I1019" s="422"/>
      <c r="J1019" s="422"/>
      <c r="K1019" s="422"/>
      <c r="L1019" s="422"/>
      <c r="M1019" s="422"/>
      <c r="N1019" s="422"/>
      <c r="O1019" s="422"/>
      <c r="P1019" s="422"/>
      <c r="Q1019" s="422"/>
      <c r="R1019" s="422"/>
      <c r="S1019" s="422"/>
      <c r="T1019" s="422"/>
      <c r="U1019" s="422"/>
      <c r="V1019" s="422"/>
      <c r="W1019" s="422"/>
      <c r="X1019" s="422"/>
      <c r="Y1019" s="422"/>
      <c r="Z1019" s="422"/>
    </row>
    <row r="1020" spans="1:26" ht="15" thickBot="1">
      <c r="A1020" s="422"/>
      <c r="B1020" s="422"/>
      <c r="C1020" s="422"/>
      <c r="D1020" s="422"/>
      <c r="E1020" s="422"/>
      <c r="F1020" s="422"/>
      <c r="G1020" s="422"/>
      <c r="H1020" s="422"/>
      <c r="I1020" s="422"/>
      <c r="J1020" s="422"/>
      <c r="K1020" s="422"/>
      <c r="L1020" s="422"/>
      <c r="M1020" s="422"/>
      <c r="N1020" s="422"/>
      <c r="O1020" s="422"/>
      <c r="P1020" s="422"/>
      <c r="Q1020" s="422"/>
      <c r="R1020" s="422"/>
      <c r="S1020" s="422"/>
      <c r="T1020" s="422"/>
      <c r="U1020" s="422"/>
      <c r="V1020" s="422"/>
      <c r="W1020" s="422"/>
      <c r="X1020" s="422"/>
      <c r="Y1020" s="422"/>
      <c r="Z1020" s="422"/>
    </row>
    <row r="1021" spans="1:26" ht="15" thickBot="1">
      <c r="A1021" s="422"/>
      <c r="B1021" s="422"/>
      <c r="C1021" s="422"/>
      <c r="D1021" s="422"/>
      <c r="E1021" s="422"/>
      <c r="F1021" s="422"/>
      <c r="G1021" s="422"/>
      <c r="H1021" s="422"/>
      <c r="I1021" s="422"/>
      <c r="J1021" s="422"/>
      <c r="K1021" s="422"/>
      <c r="L1021" s="422"/>
      <c r="M1021" s="422"/>
      <c r="N1021" s="422"/>
      <c r="O1021" s="422"/>
      <c r="P1021" s="422"/>
      <c r="Q1021" s="422"/>
      <c r="R1021" s="422"/>
      <c r="S1021" s="422"/>
      <c r="T1021" s="422"/>
      <c r="U1021" s="422"/>
      <c r="V1021" s="422"/>
      <c r="W1021" s="422"/>
      <c r="X1021" s="422"/>
      <c r="Y1021" s="422"/>
      <c r="Z1021" s="422"/>
    </row>
    <row r="1022" spans="1:26" ht="15" thickBot="1">
      <c r="A1022" s="422"/>
      <c r="B1022" s="422"/>
      <c r="C1022" s="422"/>
      <c r="D1022" s="422"/>
      <c r="E1022" s="422"/>
      <c r="F1022" s="422"/>
      <c r="G1022" s="422"/>
      <c r="H1022" s="422"/>
      <c r="I1022" s="422"/>
      <c r="J1022" s="422"/>
      <c r="K1022" s="422"/>
      <c r="L1022" s="422"/>
      <c r="M1022" s="422"/>
      <c r="N1022" s="422"/>
      <c r="O1022" s="422"/>
      <c r="P1022" s="422"/>
      <c r="Q1022" s="422"/>
      <c r="R1022" s="422"/>
      <c r="S1022" s="422"/>
      <c r="T1022" s="422"/>
      <c r="U1022" s="422"/>
      <c r="V1022" s="422"/>
      <c r="W1022" s="422"/>
      <c r="X1022" s="422"/>
      <c r="Y1022" s="422"/>
      <c r="Z1022" s="422"/>
    </row>
    <row r="1023" spans="1:26" ht="15" thickBot="1">
      <c r="A1023" s="422"/>
      <c r="B1023" s="422"/>
      <c r="C1023" s="422"/>
      <c r="D1023" s="422"/>
      <c r="E1023" s="422"/>
      <c r="F1023" s="422"/>
      <c r="G1023" s="422"/>
      <c r="H1023" s="422"/>
      <c r="I1023" s="422"/>
      <c r="J1023" s="422"/>
      <c r="K1023" s="422"/>
      <c r="L1023" s="422"/>
      <c r="M1023" s="422"/>
      <c r="N1023" s="422"/>
      <c r="O1023" s="422"/>
      <c r="P1023" s="422"/>
      <c r="Q1023" s="422"/>
      <c r="R1023" s="422"/>
      <c r="S1023" s="422"/>
      <c r="T1023" s="422"/>
      <c r="U1023" s="422"/>
      <c r="V1023" s="422"/>
      <c r="W1023" s="422"/>
      <c r="X1023" s="422"/>
      <c r="Y1023" s="422"/>
      <c r="Z1023" s="422"/>
    </row>
    <row r="1024" spans="1:26" ht="15" thickBot="1">
      <c r="A1024" s="422"/>
      <c r="B1024" s="422"/>
      <c r="C1024" s="422"/>
      <c r="D1024" s="422"/>
      <c r="E1024" s="422"/>
      <c r="F1024" s="422"/>
      <c r="G1024" s="422"/>
      <c r="H1024" s="422"/>
      <c r="I1024" s="422"/>
      <c r="J1024" s="422"/>
      <c r="K1024" s="422"/>
      <c r="L1024" s="422"/>
      <c r="M1024" s="422"/>
      <c r="N1024" s="422"/>
      <c r="O1024" s="422"/>
      <c r="P1024" s="422"/>
      <c r="Q1024" s="422"/>
      <c r="R1024" s="422"/>
      <c r="S1024" s="422"/>
      <c r="T1024" s="422"/>
      <c r="U1024" s="422"/>
      <c r="V1024" s="422"/>
      <c r="W1024" s="422"/>
      <c r="X1024" s="422"/>
      <c r="Y1024" s="422"/>
      <c r="Z1024" s="422"/>
    </row>
    <row r="1025" spans="1:26" ht="15" thickBot="1">
      <c r="A1025" s="422"/>
      <c r="B1025" s="422"/>
      <c r="C1025" s="422"/>
      <c r="D1025" s="422"/>
      <c r="E1025" s="422"/>
      <c r="F1025" s="422"/>
      <c r="G1025" s="422"/>
      <c r="H1025" s="422"/>
      <c r="I1025" s="422"/>
      <c r="J1025" s="422"/>
      <c r="K1025" s="422"/>
      <c r="L1025" s="422"/>
      <c r="M1025" s="422"/>
      <c r="N1025" s="422"/>
      <c r="O1025" s="422"/>
      <c r="P1025" s="422"/>
      <c r="Q1025" s="422"/>
      <c r="R1025" s="422"/>
      <c r="S1025" s="422"/>
      <c r="T1025" s="422"/>
      <c r="U1025" s="422"/>
      <c r="V1025" s="422"/>
      <c r="W1025" s="422"/>
      <c r="X1025" s="422"/>
      <c r="Y1025" s="422"/>
      <c r="Z1025" s="422"/>
    </row>
    <row r="1026" spans="1:26" ht="15" thickBot="1">
      <c r="A1026" s="422"/>
      <c r="B1026" s="422"/>
      <c r="C1026" s="422"/>
      <c r="D1026" s="422"/>
      <c r="E1026" s="422"/>
      <c r="F1026" s="422"/>
      <c r="G1026" s="422"/>
      <c r="H1026" s="422"/>
      <c r="I1026" s="422"/>
      <c r="J1026" s="422"/>
      <c r="K1026" s="422"/>
      <c r="L1026" s="422"/>
      <c r="M1026" s="422"/>
      <c r="N1026" s="422"/>
      <c r="O1026" s="422"/>
      <c r="P1026" s="422"/>
      <c r="Q1026" s="422"/>
      <c r="R1026" s="422"/>
      <c r="S1026" s="422"/>
      <c r="T1026" s="422"/>
      <c r="U1026" s="422"/>
      <c r="V1026" s="422"/>
      <c r="W1026" s="422"/>
      <c r="X1026" s="422"/>
      <c r="Y1026" s="422"/>
      <c r="Z1026" s="422"/>
    </row>
    <row r="1027" spans="1:26" ht="15" thickBot="1">
      <c r="A1027" s="422"/>
      <c r="B1027" s="422"/>
      <c r="C1027" s="422"/>
      <c r="D1027" s="422"/>
      <c r="E1027" s="422"/>
      <c r="F1027" s="422"/>
      <c r="G1027" s="422"/>
      <c r="H1027" s="422"/>
      <c r="I1027" s="422"/>
      <c r="J1027" s="422"/>
      <c r="K1027" s="422"/>
      <c r="L1027" s="422"/>
      <c r="M1027" s="422"/>
      <c r="N1027" s="422"/>
      <c r="O1027" s="422"/>
      <c r="P1027" s="422"/>
      <c r="Q1027" s="422"/>
      <c r="R1027" s="422"/>
      <c r="S1027" s="422"/>
      <c r="T1027" s="422"/>
      <c r="U1027" s="422"/>
      <c r="V1027" s="422"/>
      <c r="W1027" s="422"/>
      <c r="X1027" s="422"/>
      <c r="Y1027" s="422"/>
      <c r="Z1027" s="422"/>
    </row>
    <row r="1028" spans="1:26" ht="15" thickBot="1">
      <c r="A1028" s="422"/>
      <c r="B1028" s="422"/>
      <c r="C1028" s="422"/>
      <c r="D1028" s="422"/>
      <c r="E1028" s="422"/>
      <c r="F1028" s="422"/>
      <c r="G1028" s="422"/>
      <c r="H1028" s="422"/>
      <c r="I1028" s="422"/>
      <c r="J1028" s="422"/>
      <c r="K1028" s="422"/>
      <c r="L1028" s="422"/>
      <c r="M1028" s="422"/>
      <c r="N1028" s="422"/>
      <c r="O1028" s="422"/>
      <c r="P1028" s="422"/>
      <c r="Q1028" s="422"/>
      <c r="R1028" s="422"/>
      <c r="S1028" s="422"/>
      <c r="T1028" s="422"/>
      <c r="U1028" s="422"/>
      <c r="V1028" s="422"/>
      <c r="W1028" s="422"/>
      <c r="X1028" s="422"/>
      <c r="Y1028" s="422"/>
      <c r="Z1028" s="422"/>
    </row>
  </sheetData>
  <pageMargins left="0.7" right="0.7" top="0.75" bottom="0.75" header="0.3" footer="0.3"/>
  <pageSetup paperSize="9" orientation="portrait" verticalDpi="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61E9D-8DBC-439C-ADAD-C4C792F93FC4}">
  <sheetPr>
    <tabColor theme="3" tint="0.79998168889431442"/>
    <pageSetUpPr fitToPage="1"/>
  </sheetPr>
  <dimension ref="A4:Q101"/>
  <sheetViews>
    <sheetView showGridLines="0" topLeftCell="A15" zoomScaleNormal="100" zoomScaleSheetLayoutView="100" zoomScalePageLayoutView="115" workbookViewId="0">
      <selection activeCell="C45" sqref="C45"/>
    </sheetView>
  </sheetViews>
  <sheetFormatPr defaultColWidth="11.44140625" defaultRowHeight="13.2"/>
  <cols>
    <col min="1" max="1" width="11.44140625" style="13"/>
    <col min="2" max="2" width="9.88671875" style="13" customWidth="1"/>
    <col min="3" max="3" width="67.5546875" style="13" customWidth="1"/>
    <col min="4" max="4" width="12" style="13" bestFit="1" customWidth="1"/>
    <col min="5" max="5" width="22.44140625" style="13" customWidth="1"/>
    <col min="6" max="6" width="12.33203125" style="13" customWidth="1"/>
    <col min="7" max="7" width="11.44140625" style="13"/>
    <col min="8" max="8" width="14.109375" style="13" bestFit="1" customWidth="1"/>
    <col min="9" max="9" width="21.6640625" style="13" customWidth="1"/>
    <col min="10" max="10" width="11.44140625" style="13"/>
    <col min="11" max="11" width="6" style="13" customWidth="1"/>
    <col min="12" max="12" width="8.44140625" style="13" bestFit="1" customWidth="1"/>
    <col min="13" max="13" width="8.5546875" style="13" bestFit="1" customWidth="1"/>
    <col min="14" max="14" width="11.44140625" style="13"/>
    <col min="15" max="15" width="14.33203125" style="13" bestFit="1" customWidth="1"/>
    <col min="16" max="16384" width="11.44140625" style="13"/>
  </cols>
  <sheetData>
    <row r="4" spans="3:17" ht="24">
      <c r="D4" s="479" t="s">
        <v>7</v>
      </c>
      <c r="E4" s="480"/>
      <c r="F4" s="480"/>
      <c r="G4" s="481"/>
      <c r="H4" s="482" t="s">
        <v>94</v>
      </c>
      <c r="I4" s="63" t="s">
        <v>95</v>
      </c>
      <c r="J4" s="485" t="s">
        <v>77</v>
      </c>
      <c r="K4" s="486"/>
      <c r="L4" s="486"/>
      <c r="M4" s="487"/>
    </row>
    <row r="5" spans="3:17" ht="15" customHeight="1">
      <c r="C5" s="479" t="s">
        <v>160</v>
      </c>
      <c r="D5" s="63" t="s">
        <v>96</v>
      </c>
      <c r="E5" s="63" t="s">
        <v>97</v>
      </c>
      <c r="F5" s="63" t="s">
        <v>98</v>
      </c>
      <c r="G5" s="491" t="s">
        <v>99</v>
      </c>
      <c r="H5" s="483"/>
      <c r="I5" s="492" t="s">
        <v>100</v>
      </c>
      <c r="J5" s="488"/>
      <c r="K5" s="489"/>
      <c r="L5" s="489"/>
      <c r="M5" s="490"/>
      <c r="O5"/>
      <c r="P5"/>
      <c r="Q5"/>
    </row>
    <row r="6" spans="3:17" ht="12.75" customHeight="1" thickBot="1">
      <c r="C6" s="496"/>
      <c r="D6" s="492" t="s">
        <v>106</v>
      </c>
      <c r="E6" s="492"/>
      <c r="F6" s="492"/>
      <c r="G6" s="487"/>
      <c r="H6" s="483"/>
      <c r="I6" s="497"/>
      <c r="J6" s="62" t="s">
        <v>107</v>
      </c>
      <c r="K6" s="70" t="s">
        <v>108</v>
      </c>
      <c r="L6" s="70" t="s">
        <v>109</v>
      </c>
      <c r="M6" s="70" t="s">
        <v>110</v>
      </c>
      <c r="O6"/>
      <c r="P6"/>
      <c r="Q6"/>
    </row>
    <row r="7" spans="3:17" ht="12.75" customHeight="1">
      <c r="C7" s="91" t="s">
        <v>81</v>
      </c>
      <c r="D7" s="74"/>
      <c r="E7" s="75"/>
      <c r="F7" s="75"/>
      <c r="G7" s="75"/>
      <c r="H7" s="75"/>
      <c r="I7" s="75"/>
      <c r="J7" s="75"/>
      <c r="K7" s="75"/>
      <c r="L7" s="75"/>
      <c r="M7" s="92"/>
      <c r="O7"/>
      <c r="P7"/>
      <c r="Q7"/>
    </row>
    <row r="8" spans="3:17" ht="12.75" customHeight="1">
      <c r="C8" s="89" t="s">
        <v>161</v>
      </c>
      <c r="D8" s="97">
        <f>D9+D11+D10</f>
        <v>38115</v>
      </c>
      <c r="E8" s="61">
        <f>1/(nano*D8)</f>
        <v>26236.389872753505</v>
      </c>
      <c r="F8" s="60">
        <f>1/(hours_per_year*nano*D8)</f>
        <v>2.9950216749718614</v>
      </c>
      <c r="G8" s="60">
        <f>100*(1-EXP(-1/F8))</f>
        <v>28.386558557740539</v>
      </c>
      <c r="H8" s="60" t="s">
        <v>124</v>
      </c>
      <c r="I8" s="110">
        <f>100*(1-D8*nano*MTTR_1h)</f>
        <v>99.996188500000002</v>
      </c>
      <c r="J8" s="59">
        <f>1-I8/100</f>
        <v>3.8114999999949717E-5</v>
      </c>
      <c r="K8" s="69">
        <f>J8*hours_per_year</f>
        <v>0.33388739999955952</v>
      </c>
      <c r="L8" s="72">
        <f>J8*min_per_year</f>
        <v>20.033243999973571</v>
      </c>
      <c r="M8" s="78">
        <f>J8*secs_per_year</f>
        <v>1201.9946399984142</v>
      </c>
      <c r="O8"/>
      <c r="P8"/>
      <c r="Q8"/>
    </row>
    <row r="9" spans="3:17" ht="12.75" customHeight="1">
      <c r="C9" s="88" t="s">
        <v>162</v>
      </c>
      <c r="D9" s="98">
        <f>1*Control_Plane+1*Server_Master+1*Data_Storage</f>
        <v>12705</v>
      </c>
      <c r="E9" s="61">
        <f>1/(nano*D9)</f>
        <v>78709.169618260523</v>
      </c>
      <c r="F9" s="61">
        <f>1/(hours_per_year*nano*D9)</f>
        <v>8.9850650249155848</v>
      </c>
      <c r="G9" s="60">
        <f t="shared" ref="G9:G11" si="0">100*(1-EXP(-1/F9))</f>
        <v>10.532593480424811</v>
      </c>
      <c r="H9" s="60" t="s">
        <v>124</v>
      </c>
      <c r="I9" s="111">
        <f>100*(1-D9*nano*MTTR_1h)</f>
        <v>99.99872950000001</v>
      </c>
      <c r="J9" s="59">
        <f t="shared" ref="J9:J11" si="1">1-I9/100</f>
        <v>1.2704999999946232E-5</v>
      </c>
      <c r="K9" s="69">
        <f>J9*hours_per_year</f>
        <v>0.11129579999952899</v>
      </c>
      <c r="L9" s="72">
        <f>J9*min_per_year</f>
        <v>6.6777479999717393</v>
      </c>
      <c r="M9" s="78">
        <f>J9*secs_per_year</f>
        <v>400.66487999830434</v>
      </c>
      <c r="O9"/>
      <c r="P9"/>
      <c r="Q9"/>
    </row>
    <row r="10" spans="3:17" ht="12.75" customHeight="1">
      <c r="C10" s="88" t="s">
        <v>162</v>
      </c>
      <c r="D10" s="98">
        <f>1*Control_Plane+1*Server_Master+1*Data_Storage</f>
        <v>12705</v>
      </c>
      <c r="E10" s="61">
        <f>1/(nano*D10)</f>
        <v>78709.169618260523</v>
      </c>
      <c r="F10" s="61">
        <f>1/(hours_per_year*nano*D10)</f>
        <v>8.9850650249155848</v>
      </c>
      <c r="G10" s="60">
        <f t="shared" ref="G10" si="2">100*(1-EXP(-1/F10))</f>
        <v>10.532593480424811</v>
      </c>
      <c r="H10" s="60" t="s">
        <v>124</v>
      </c>
      <c r="I10" s="111">
        <f>100*(1-D10*nano*MTTR_1h)</f>
        <v>99.99872950000001</v>
      </c>
      <c r="J10" s="59">
        <f t="shared" ref="J10" si="3">1-I10/100</f>
        <v>1.2704999999946232E-5</v>
      </c>
      <c r="K10" s="69">
        <f>J10*hours_per_year</f>
        <v>0.11129579999952899</v>
      </c>
      <c r="L10" s="72">
        <f>J10*min_per_year</f>
        <v>6.6777479999717393</v>
      </c>
      <c r="M10" s="78">
        <f>J10*secs_per_year</f>
        <v>400.66487999830434</v>
      </c>
      <c r="O10"/>
      <c r="P10"/>
      <c r="Q10"/>
    </row>
    <row r="11" spans="3:17" ht="12.75" customHeight="1">
      <c r="C11" s="203" t="s">
        <v>162</v>
      </c>
      <c r="D11" s="99">
        <f>1*Control_Plane+1*Server_Master+1*Data_Storage</f>
        <v>12705</v>
      </c>
      <c r="E11" s="81">
        <f>1/(nano*D11)</f>
        <v>78709.169618260523</v>
      </c>
      <c r="F11" s="81">
        <f>1/(hours_per_year*nano*D11)</f>
        <v>8.9850650249155848</v>
      </c>
      <c r="G11" s="82">
        <f t="shared" si="0"/>
        <v>10.532593480424811</v>
      </c>
      <c r="H11" s="82" t="s">
        <v>124</v>
      </c>
      <c r="I11" s="112">
        <f>100*(1-D11*nano*MTTR_1h)</f>
        <v>99.99872950000001</v>
      </c>
      <c r="J11" s="83">
        <f t="shared" si="1"/>
        <v>1.2704999999946232E-5</v>
      </c>
      <c r="K11" s="84">
        <f>J11*hours_per_year</f>
        <v>0.11129579999952899</v>
      </c>
      <c r="L11" s="85">
        <f>J11*min_per_year</f>
        <v>6.6777479999717393</v>
      </c>
      <c r="M11" s="86">
        <f>J11*secs_per_year</f>
        <v>400.66487999830434</v>
      </c>
      <c r="O11"/>
      <c r="P11"/>
      <c r="Q11"/>
    </row>
    <row r="12" spans="3:17" ht="3.75" customHeight="1">
      <c r="C12" s="89"/>
      <c r="D12" s="98"/>
      <c r="E12" s="61"/>
      <c r="F12" s="61"/>
      <c r="G12" s="60"/>
      <c r="H12" s="60"/>
      <c r="I12" s="111"/>
      <c r="J12" s="59"/>
      <c r="K12" s="69"/>
      <c r="L12" s="72"/>
      <c r="M12" s="78"/>
      <c r="O12"/>
      <c r="P12"/>
      <c r="Q12"/>
    </row>
    <row r="13" spans="3:17" ht="3.75" customHeight="1">
      <c r="C13" s="89"/>
      <c r="D13" s="98"/>
      <c r="E13" s="61"/>
      <c r="F13" s="61"/>
      <c r="G13" s="60"/>
      <c r="H13" s="60"/>
      <c r="I13" s="111"/>
      <c r="J13" s="59"/>
      <c r="K13" s="69"/>
      <c r="L13" s="72"/>
      <c r="M13" s="78"/>
      <c r="O13"/>
      <c r="P13"/>
      <c r="Q13"/>
    </row>
    <row r="14" spans="3:17" ht="16.5" customHeight="1">
      <c r="C14" s="89" t="s">
        <v>130</v>
      </c>
      <c r="D14" s="98">
        <f>3*Switch_hot</f>
        <v>4.4476740479999997</v>
      </c>
      <c r="E14" s="61">
        <f>1/(nano*D14)</f>
        <v>224836620.04181114</v>
      </c>
      <c r="F14" s="61">
        <f>1/(hours_per_year*nano*D14)</f>
        <v>25666.280826690767</v>
      </c>
      <c r="G14" s="60">
        <f>100*(1-EXP(-1/F14))</f>
        <v>3.8960865666237687E-3</v>
      </c>
      <c r="H14" s="60" t="s">
        <v>131</v>
      </c>
      <c r="I14" s="111">
        <f>100*(1-D14*nano*MTTR_8h)</f>
        <v>99.999996441860759</v>
      </c>
      <c r="J14" s="59">
        <f>1-I14/100</f>
        <v>3.5581392388017719E-8</v>
      </c>
      <c r="K14" s="58">
        <f>J14*hours_per_year</f>
        <v>3.1169299731903521E-4</v>
      </c>
      <c r="L14" s="72">
        <f>J14*min_per_year</f>
        <v>1.8701579839142113E-2</v>
      </c>
      <c r="M14" s="78">
        <f>J14*secs_per_year</f>
        <v>1.1220947903485268</v>
      </c>
      <c r="O14"/>
      <c r="P14"/>
      <c r="Q14"/>
    </row>
    <row r="15" spans="3:17" ht="15" customHeight="1">
      <c r="C15" s="89" t="s">
        <v>132</v>
      </c>
      <c r="D15" s="98">
        <f>Switch_hot</f>
        <v>1.482558016</v>
      </c>
      <c r="E15" s="61">
        <f>1/(nano*D15)</f>
        <v>674509860.12543333</v>
      </c>
      <c r="F15" s="61">
        <f>1/(hours_per_year*nano*D15)</f>
        <v>76998.842480072301</v>
      </c>
      <c r="G15" s="60">
        <f>100*(1-EXP(-1/F15))</f>
        <v>1.2987123886754048E-3</v>
      </c>
      <c r="H15" s="60" t="s">
        <v>131</v>
      </c>
      <c r="I15" s="111">
        <f>100*(1-D15*nano*MTTR_8h)</f>
        <v>99.999998813953582</v>
      </c>
      <c r="J15" s="59">
        <f>1-I15/100</f>
        <v>1.1860464166346674E-8</v>
      </c>
      <c r="K15" s="58">
        <f>J15*hours_per_year</f>
        <v>1.0389766609719686E-4</v>
      </c>
      <c r="L15" s="72">
        <f>J15*min_per_year</f>
        <v>6.2338599658318117E-3</v>
      </c>
      <c r="M15" s="78">
        <f>J15*secs_per_year</f>
        <v>0.3740315979499087</v>
      </c>
      <c r="O15"/>
      <c r="P15"/>
      <c r="Q15"/>
    </row>
    <row r="16" spans="3:17">
      <c r="C16" s="89"/>
      <c r="D16" s="99"/>
      <c r="E16" s="81"/>
      <c r="F16" s="81"/>
      <c r="G16" s="82"/>
      <c r="H16" s="82"/>
      <c r="I16" s="112"/>
      <c r="J16" s="83"/>
      <c r="K16" s="84"/>
      <c r="L16" s="85"/>
      <c r="M16" s="86"/>
      <c r="O16"/>
      <c r="P16"/>
      <c r="Q16"/>
    </row>
    <row r="17" spans="3:17" ht="14.25" customHeight="1">
      <c r="C17" s="204" t="s">
        <v>117</v>
      </c>
      <c r="D17" s="184"/>
      <c r="E17" s="185"/>
      <c r="F17" s="185"/>
      <c r="G17" s="186"/>
      <c r="H17" s="186"/>
      <c r="I17" s="108"/>
      <c r="J17" s="187"/>
      <c r="K17" s="188"/>
      <c r="L17" s="189"/>
      <c r="M17" s="190"/>
      <c r="N17"/>
      <c r="O17"/>
      <c r="P17"/>
      <c r="Q17"/>
    </row>
    <row r="18" spans="3:17" ht="12.75" customHeight="1">
      <c r="C18" s="79" t="s">
        <v>163</v>
      </c>
      <c r="D18" s="103">
        <f>6*(D9*nano)^2*MTTR_1min/nano+Network</f>
        <v>4.4638157504999993</v>
      </c>
      <c r="E18" s="57">
        <f>1/(nano*D18)</f>
        <v>224023583.38557956</v>
      </c>
      <c r="F18" s="57">
        <f>1/(hours_per_year*nano*D18)</f>
        <v>25573.468423011363</v>
      </c>
      <c r="G18" s="56">
        <f>100*(1-EXP(-1/F18))</f>
        <v>3.9102261460977061E-3</v>
      </c>
      <c r="H18" s="56" t="s">
        <v>134</v>
      </c>
      <c r="I18" s="182">
        <f>100*(1-D18*nano*MTTR_2min)</f>
        <v>99.99999998512061</v>
      </c>
      <c r="J18" s="55">
        <f>1-I18/100</f>
        <v>1.4879386611710288E-10</v>
      </c>
      <c r="K18" s="54">
        <f>J18*hours_per_year</f>
        <v>1.3034342671858212E-6</v>
      </c>
      <c r="L18" s="71">
        <f>J18*min_per_year</f>
        <v>7.8206056031149274E-5</v>
      </c>
      <c r="M18" s="191">
        <f>J18*secs_per_year</f>
        <v>4.6923633618689564E-3</v>
      </c>
    </row>
    <row r="19" spans="3:17" ht="12.75" customHeight="1">
      <c r="C19" s="79" t="s">
        <v>164</v>
      </c>
      <c r="D19" s="103">
        <f>6*(D9*nano)^2*MTTR_2min/nano+Network</f>
        <v>4.4799574529999999</v>
      </c>
      <c r="E19" s="57">
        <f>1/(nano*D19)</f>
        <v>223216405.62241292</v>
      </c>
      <c r="F19" s="57">
        <f>1/(hours_per_year*nano*D19)</f>
        <v>25481.324842741204</v>
      </c>
      <c r="G19" s="56">
        <f>100*(1-EXP(-1/F19))</f>
        <v>3.9243657235843443E-3</v>
      </c>
      <c r="H19" s="56" t="s">
        <v>136</v>
      </c>
      <c r="I19" s="182">
        <f>100*(1-D19*nano*MTTR_5min)</f>
        <v>99.999999962667019</v>
      </c>
      <c r="J19" s="55">
        <f>1-I19/100</f>
        <v>3.7332981150939304E-10</v>
      </c>
      <c r="K19" s="54">
        <f>J19*hours_per_year</f>
        <v>3.270369148822283E-6</v>
      </c>
      <c r="L19" s="71">
        <f>J19*min_per_year</f>
        <v>1.9622214892933698E-4</v>
      </c>
      <c r="M19" s="191">
        <f>J19*secs_per_year</f>
        <v>1.1773328935760219E-2</v>
      </c>
    </row>
    <row r="20" spans="3:17" ht="12.75" customHeight="1">
      <c r="C20" s="79" t="s">
        <v>165</v>
      </c>
      <c r="D20" s="103">
        <f>6*(D9*nano)^2*MTTR_3min/nano+Network</f>
        <v>4.4960991554999996</v>
      </c>
      <c r="E20" s="57">
        <f>1/(nano*D20)</f>
        <v>222415023.64927104</v>
      </c>
      <c r="F20" s="57">
        <f>1/(hours_per_year*nano*D20)</f>
        <v>25389.842882336874</v>
      </c>
      <c r="G20" s="56">
        <f>100*(1-EXP(-1/F20))</f>
        <v>3.9385052990614788E-3</v>
      </c>
      <c r="H20" s="56" t="s">
        <v>138</v>
      </c>
      <c r="I20" s="182">
        <f>100*(1-D20*nano*MTTR_10min)</f>
        <v>99.999999925065026</v>
      </c>
      <c r="J20" s="55">
        <f>1-I20/100</f>
        <v>7.4934969340745283E-10</v>
      </c>
      <c r="K20" s="54">
        <f>J20*hours_per_year</f>
        <v>6.5643033142492868E-6</v>
      </c>
      <c r="L20" s="71">
        <f>J20*min_per_year</f>
        <v>3.9385819885495721E-4</v>
      </c>
      <c r="M20" s="191">
        <f>J20*secs_per_year</f>
        <v>2.3631491931297433E-2</v>
      </c>
    </row>
    <row r="21" spans="3:17" ht="12.75" customHeight="1">
      <c r="C21" s="79" t="s">
        <v>166</v>
      </c>
      <c r="D21" s="216">
        <f>6*(D9*nano)^2*MTTR_1h/nano+Network</f>
        <v>5.4161761979999996</v>
      </c>
      <c r="E21" s="205">
        <f>1/(nano*D21)</f>
        <v>184632102.69438136</v>
      </c>
      <c r="F21" s="205">
        <f>1/(hours_per_year*nano*D21)</f>
        <v>21076.72405187002</v>
      </c>
      <c r="G21" s="206">
        <f>100*(1-EXP(-1/F21))</f>
        <v>4.7444577964905754E-3</v>
      </c>
      <c r="H21" s="206" t="s">
        <v>124</v>
      </c>
      <c r="I21" s="207">
        <f>100*(1-D21*nano*MTTR_1h)</f>
        <v>99.999999458382376</v>
      </c>
      <c r="J21" s="208">
        <f>1-I21/100</f>
        <v>5.4161762852444895E-9</v>
      </c>
      <c r="K21" s="209">
        <f>J21*hours_per_year</f>
        <v>4.7445704258741728E-5</v>
      </c>
      <c r="L21" s="210">
        <f>J21*min_per_year</f>
        <v>2.8467422555245037E-3</v>
      </c>
      <c r="M21" s="211">
        <f>J21*secs_per_year</f>
        <v>0.17080453533147022</v>
      </c>
    </row>
    <row r="22" spans="3:17" ht="14.25" customHeight="1">
      <c r="C22" s="204" t="s">
        <v>118</v>
      </c>
      <c r="D22" s="184"/>
      <c r="E22" s="185"/>
      <c r="F22" s="185"/>
      <c r="G22" s="186"/>
      <c r="H22" s="186"/>
      <c r="I22" s="108"/>
      <c r="J22" s="187"/>
      <c r="K22" s="188"/>
      <c r="L22" s="189"/>
      <c r="M22" s="190"/>
      <c r="N22" s="49" t="s">
        <v>167</v>
      </c>
      <c r="O22"/>
      <c r="P22"/>
      <c r="Q22"/>
    </row>
    <row r="23" spans="3:17" ht="12.75" customHeight="1">
      <c r="C23" s="79" t="s">
        <v>168</v>
      </c>
      <c r="D23" s="180">
        <f>(1/E23)/nano</f>
        <v>40.174343905417039</v>
      </c>
      <c r="E23" s="57">
        <f>I23*MTTR_2min/(1-I23)</f>
        <v>24891507.932383724</v>
      </c>
      <c r="F23" s="57">
        <f>E23/hours_per_year</f>
        <v>2841.4963393132102</v>
      </c>
      <c r="G23" s="192">
        <f>100*(1-EXP(-1/F23))</f>
        <v>3.5186533347975057E-2</v>
      </c>
      <c r="H23" s="56" t="s">
        <v>134</v>
      </c>
      <c r="I23" s="109">
        <f>1-J23</f>
        <v>0.9999999986608552</v>
      </c>
      <c r="J23" s="55">
        <f>M23/secs_per_year</f>
        <v>1.3391447950539259E-9</v>
      </c>
      <c r="K23" s="54">
        <f>J23*hours_per_year</f>
        <v>1.1730908404672391E-5</v>
      </c>
      <c r="L23" s="71">
        <f>J23*min_per_year</f>
        <v>7.0385450428034346E-4</v>
      </c>
      <c r="M23" s="191">
        <f>M18*9</f>
        <v>4.2231270256820608E-2</v>
      </c>
      <c r="N23" s="13" t="s">
        <v>169</v>
      </c>
    </row>
    <row r="24" spans="3:17" ht="12.75" customHeight="1">
      <c r="C24" s="79" t="s">
        <v>170</v>
      </c>
      <c r="D24" s="180">
        <f>(1/E24)/nano</f>
        <v>40.319619778487095</v>
      </c>
      <c r="E24" s="57">
        <f>I24*MTTR_5min/(1-I24)</f>
        <v>24801821.185168002</v>
      </c>
      <c r="F24" s="57">
        <f>E24/hours_per_year</f>
        <v>2831.2581261607306</v>
      </c>
      <c r="G24" s="192">
        <f t="shared" ref="G24:G26" si="4">100*(1-EXP(-1/F24))</f>
        <v>3.5313750152865531E-2</v>
      </c>
      <c r="H24" s="56" t="s">
        <v>136</v>
      </c>
      <c r="I24" s="109">
        <f t="shared" ref="I24:I26" si="5">1-J24</f>
        <v>0.9999999966400317</v>
      </c>
      <c r="J24" s="55">
        <f>M24/secs_per_year</f>
        <v>3.3599683035845374E-9</v>
      </c>
      <c r="K24" s="54">
        <f>J24*hours_per_year</f>
        <v>2.9433322339400547E-5</v>
      </c>
      <c r="L24" s="71">
        <f>J24*min_per_year</f>
        <v>1.7659993403640328E-3</v>
      </c>
      <c r="M24" s="191">
        <f>M19*9</f>
        <v>0.10595996042184197</v>
      </c>
    </row>
    <row r="25" spans="3:17" ht="12.75" customHeight="1">
      <c r="C25" s="79" t="s">
        <v>171</v>
      </c>
      <c r="D25" s="180">
        <f>(1/E25)/nano</f>
        <v>40.464883716903586</v>
      </c>
      <c r="E25" s="57">
        <f>I25*MTTR_10min/(1-I25)</f>
        <v>24712785.708124135</v>
      </c>
      <c r="F25" s="57">
        <f>E25/hours_per_year</f>
        <v>2821.09425891828</v>
      </c>
      <c r="G25" s="192">
        <f t="shared" si="4"/>
        <v>3.5440956344812147E-2</v>
      </c>
      <c r="H25" s="56" t="s">
        <v>138</v>
      </c>
      <c r="I25" s="109">
        <f t="shared" si="5"/>
        <v>0.99999999325585276</v>
      </c>
      <c r="J25" s="55">
        <f>M25/secs_per_year</f>
        <v>6.7441472406670755E-9</v>
      </c>
      <c r="K25" s="54">
        <f>J25*hours_per_year</f>
        <v>5.9078729828243581E-5</v>
      </c>
      <c r="L25" s="71">
        <f>J25*min_per_year</f>
        <v>3.5447237896946149E-3</v>
      </c>
      <c r="M25" s="191">
        <f>M20*9</f>
        <v>0.21268342738167689</v>
      </c>
    </row>
    <row r="26" spans="3:17" ht="12.75" customHeight="1">
      <c r="C26" s="79" t="s">
        <v>172</v>
      </c>
      <c r="D26" s="180">
        <f>(1/E26)/nano</f>
        <v>48.745588943332727</v>
      </c>
      <c r="E26" s="57">
        <f>I26*MTTR_1h/(1-I26)</f>
        <v>20514676.746700317</v>
      </c>
      <c r="F26" s="57">
        <f>E26/hours_per_year</f>
        <v>2341.8580761073422</v>
      </c>
      <c r="G26" s="192">
        <f t="shared" si="4"/>
        <v>4.2692020276857701E-2</v>
      </c>
      <c r="H26" s="56" t="s">
        <v>124</v>
      </c>
      <c r="I26" s="109">
        <f t="shared" si="5"/>
        <v>0.99999995125441343</v>
      </c>
      <c r="J26" s="55">
        <f>M26/secs_per_year</f>
        <v>4.8745586567200405E-8</v>
      </c>
      <c r="K26" s="54">
        <f>J26*hours_per_year</f>
        <v>4.2701133832867555E-4</v>
      </c>
      <c r="L26" s="71">
        <f>J26*min_per_year</f>
        <v>2.5620680299720533E-2</v>
      </c>
      <c r="M26" s="215">
        <f>M21*9</f>
        <v>1.537240817983232</v>
      </c>
    </row>
    <row r="27" spans="3:17" ht="12.75" customHeight="1">
      <c r="C27" s="79"/>
      <c r="D27" s="180"/>
      <c r="E27" s="57"/>
      <c r="F27" s="57"/>
      <c r="G27" s="192"/>
      <c r="H27" s="56"/>
      <c r="I27" s="182"/>
      <c r="J27" s="55"/>
      <c r="K27" s="54"/>
      <c r="L27" s="71"/>
      <c r="M27" s="191"/>
    </row>
    <row r="28" spans="3:17" ht="12.75" customHeight="1" thickBot="1">
      <c r="C28" s="193" t="s">
        <v>145</v>
      </c>
      <c r="D28" s="212">
        <f>D8+Network+D15</f>
        <v>38120.930232064005</v>
      </c>
      <c r="E28" s="195"/>
      <c r="F28" s="195"/>
      <c r="G28" s="196"/>
      <c r="H28" s="196"/>
      <c r="I28" s="197"/>
      <c r="J28" s="198"/>
      <c r="K28" s="199"/>
      <c r="L28" s="200"/>
      <c r="M28" s="222"/>
    </row>
    <row r="29" spans="3:17" ht="13.8" thickBot="1">
      <c r="I29" s="114"/>
    </row>
    <row r="30" spans="3:17" ht="12.75" customHeight="1">
      <c r="C30" s="73" t="s">
        <v>90</v>
      </c>
      <c r="D30" s="76"/>
      <c r="E30" s="76"/>
      <c r="F30" s="76"/>
      <c r="G30" s="76"/>
      <c r="H30" s="76"/>
      <c r="I30" s="115"/>
      <c r="J30" s="76"/>
      <c r="K30" s="76"/>
      <c r="L30" s="76"/>
      <c r="M30" s="77"/>
    </row>
    <row r="31" spans="3:17" ht="12.75" customHeight="1">
      <c r="C31" s="89" t="s">
        <v>161</v>
      </c>
      <c r="D31" s="102">
        <f>D32+D34+D33</f>
        <v>1905.75</v>
      </c>
      <c r="E31" s="61">
        <f>1/(nano*D31)</f>
        <v>524727.79745507019</v>
      </c>
      <c r="F31" s="60">
        <f>1/(hours_per_year*nano*D31)</f>
        <v>59.900433499437234</v>
      </c>
      <c r="G31" s="60">
        <f>100*(1-EXP(-1/F31))</f>
        <v>1.6555791238500261</v>
      </c>
      <c r="H31" s="60" t="s">
        <v>124</v>
      </c>
      <c r="I31" s="110">
        <f>100*(1-D31*nano*MTTR_1h)</f>
        <v>99.999809424999995</v>
      </c>
      <c r="J31" s="59">
        <f>1-I31/100</f>
        <v>1.9057500000307925E-6</v>
      </c>
      <c r="K31" s="69">
        <f>J31*hours_per_year</f>
        <v>1.6694370000269743E-2</v>
      </c>
      <c r="L31" s="72">
        <f>J31*min_per_year</f>
        <v>1.0016622000161846</v>
      </c>
      <c r="M31" s="78">
        <f>J31*secs_per_year</f>
        <v>60.099732000971073</v>
      </c>
    </row>
    <row r="32" spans="3:17" ht="12.75" customHeight="1">
      <c r="C32" s="88" t="s">
        <v>162</v>
      </c>
      <c r="D32" s="98">
        <f>1*Control_Slave+1*Server_Slave+1*Data_Slave</f>
        <v>635.25</v>
      </c>
      <c r="E32" s="61">
        <f>1/(nano*D32)</f>
        <v>1574183.3923652105</v>
      </c>
      <c r="F32" s="61">
        <f>1/(hours_per_year*nano*D32)</f>
        <v>179.70130049831167</v>
      </c>
      <c r="G32" s="60">
        <f t="shared" ref="G32:G34" si="6">100*(1-EXP(-1/F32))</f>
        <v>0.55493352369206939</v>
      </c>
      <c r="H32" s="60" t="s">
        <v>124</v>
      </c>
      <c r="I32" s="111">
        <f>100*(1-D32*nano*MTTR_1h)</f>
        <v>99.999936474999998</v>
      </c>
      <c r="J32" s="59">
        <f t="shared" ref="J32:J34" si="7">1-I32/100</f>
        <v>6.3525000004727161E-7</v>
      </c>
      <c r="K32" s="69">
        <f>J32*hours_per_year</f>
        <v>5.5647900004140993E-3</v>
      </c>
      <c r="L32" s="72">
        <f>J32*min_per_year</f>
        <v>0.33388740002484596</v>
      </c>
      <c r="M32" s="78">
        <f>J32*secs_per_year</f>
        <v>20.033244001490758</v>
      </c>
    </row>
    <row r="33" spans="3:13" ht="12.75" customHeight="1">
      <c r="C33" s="88" t="s">
        <v>162</v>
      </c>
      <c r="D33" s="98">
        <f>1*Control_Slave+1*Server_Slave+1*Data_Slave</f>
        <v>635.25</v>
      </c>
      <c r="E33" s="61"/>
      <c r="F33" s="61"/>
      <c r="G33" s="60"/>
      <c r="H33" s="60"/>
      <c r="I33" s="111"/>
      <c r="J33" s="59"/>
      <c r="K33" s="69"/>
      <c r="L33" s="72"/>
      <c r="M33" s="78"/>
    </row>
    <row r="34" spans="3:13" ht="12.75" customHeight="1">
      <c r="C34" s="203" t="s">
        <v>162</v>
      </c>
      <c r="D34" s="99">
        <f>1*Control_Slave+1*Server_Slave+1*Data_Slave</f>
        <v>635.25</v>
      </c>
      <c r="E34" s="81">
        <f>1/(nano*D34)</f>
        <v>1574183.3923652105</v>
      </c>
      <c r="F34" s="81">
        <f>1/(hours_per_year*nano*D34)</f>
        <v>179.70130049831167</v>
      </c>
      <c r="G34" s="82">
        <f t="shared" si="6"/>
        <v>0.55493352369206939</v>
      </c>
      <c r="H34" s="82" t="s">
        <v>124</v>
      </c>
      <c r="I34" s="112">
        <f>100*(1-D34*nano*MTTR_1h)</f>
        <v>99.999936474999998</v>
      </c>
      <c r="J34" s="83">
        <f t="shared" si="7"/>
        <v>6.3525000004727161E-7</v>
      </c>
      <c r="K34" s="84">
        <f>J34*hours_per_year</f>
        <v>5.5647900004140993E-3</v>
      </c>
      <c r="L34" s="85">
        <f>J34*min_per_year</f>
        <v>0.33388740002484596</v>
      </c>
      <c r="M34" s="86">
        <f>J34*secs_per_year</f>
        <v>20.033244001490758</v>
      </c>
    </row>
    <row r="35" spans="3:13" ht="4.5" customHeight="1">
      <c r="C35" s="89"/>
      <c r="D35" s="98"/>
      <c r="E35" s="61"/>
      <c r="F35" s="61"/>
      <c r="G35" s="60"/>
      <c r="H35" s="60"/>
      <c r="I35" s="111"/>
      <c r="J35" s="59"/>
      <c r="K35" s="69"/>
      <c r="L35" s="72"/>
      <c r="M35" s="78"/>
    </row>
    <row r="36" spans="3:13" ht="14.25" customHeight="1">
      <c r="C36" s="89" t="s">
        <v>152</v>
      </c>
      <c r="D36" s="98">
        <f>3*Switch_hot</f>
        <v>4.4476740479999997</v>
      </c>
      <c r="E36" s="61">
        <f>1/(nano*D36)</f>
        <v>224836620.04181114</v>
      </c>
      <c r="F36" s="61">
        <f>1/(hours_per_year*nano*D36)</f>
        <v>25666.280826690767</v>
      </c>
      <c r="G36" s="60">
        <f>100*(1-EXP(-1/F36))</f>
        <v>3.8960865666237687E-3</v>
      </c>
      <c r="H36" s="60" t="s">
        <v>131</v>
      </c>
      <c r="I36" s="111">
        <f>100*(1-D36*nano*MTTR_8h)</f>
        <v>99.999996441860759</v>
      </c>
      <c r="J36" s="59">
        <f>1-I36/100</f>
        <v>3.5581392388017719E-8</v>
      </c>
      <c r="K36" s="58">
        <f>J36*hours_per_year</f>
        <v>3.1169299731903521E-4</v>
      </c>
      <c r="L36" s="72">
        <f>J36*min_per_year</f>
        <v>1.8701579839142113E-2</v>
      </c>
      <c r="M36" s="78">
        <f>J36*secs_per_year</f>
        <v>1.1220947903485268</v>
      </c>
    </row>
    <row r="37" spans="3:13" ht="14.25" customHeight="1">
      <c r="C37" s="89" t="s">
        <v>132</v>
      </c>
      <c r="D37" s="98">
        <f>Switch_hot</f>
        <v>1.482558016</v>
      </c>
      <c r="E37" s="61">
        <f>1/(nano*D37)</f>
        <v>674509860.12543333</v>
      </c>
      <c r="F37" s="61">
        <f>1/(hours_per_year*nano*D37)</f>
        <v>76998.842480072301</v>
      </c>
      <c r="G37" s="60">
        <f>100*(1-EXP(-1/F37))</f>
        <v>1.2987123886754048E-3</v>
      </c>
      <c r="H37" s="60" t="s">
        <v>131</v>
      </c>
      <c r="I37" s="111">
        <f>100*(1-D37*nano*MTTR_8h)</f>
        <v>99.999998813953582</v>
      </c>
      <c r="J37" s="59">
        <f>1-I37/100</f>
        <v>1.1860464166346674E-8</v>
      </c>
      <c r="K37" s="58">
        <f>J37*hours_per_year</f>
        <v>1.0389766609719686E-4</v>
      </c>
      <c r="L37" s="72">
        <f>J37*min_per_year</f>
        <v>6.2338599658318117E-3</v>
      </c>
      <c r="M37" s="78">
        <f>J37*secs_per_year</f>
        <v>0.3740315979499087</v>
      </c>
    </row>
    <row r="38" spans="3:13" ht="5.25" customHeight="1">
      <c r="C38" s="90"/>
      <c r="D38" s="100"/>
      <c r="E38" s="81"/>
      <c r="F38" s="81"/>
      <c r="G38" s="82"/>
      <c r="H38" s="82"/>
      <c r="I38" s="113"/>
      <c r="J38" s="83"/>
      <c r="K38" s="94"/>
      <c r="L38" s="95"/>
      <c r="M38" s="96"/>
    </row>
    <row r="39" spans="3:13" ht="12.75" customHeight="1">
      <c r="C39" s="204" t="s">
        <v>117</v>
      </c>
      <c r="D39" s="184"/>
      <c r="E39" s="185"/>
      <c r="F39" s="185"/>
      <c r="G39" s="186"/>
      <c r="H39" s="186"/>
      <c r="I39" s="108"/>
      <c r="J39" s="187"/>
      <c r="K39" s="188"/>
      <c r="L39" s="189"/>
      <c r="M39" s="190"/>
    </row>
    <row r="40" spans="3:13" ht="12.75" customHeight="1">
      <c r="C40" s="79" t="s">
        <v>163</v>
      </c>
      <c r="D40" s="217">
        <f>6*(D32*nano)^2*MTTR_1min/nano</f>
        <v>4.0354256250000006E-5</v>
      </c>
      <c r="E40" s="57">
        <f>1/(nano*D40)</f>
        <v>24780533527984.418</v>
      </c>
      <c r="F40" s="57">
        <f>1/(hours_per_year*nano*D40)</f>
        <v>2828828028.3087234</v>
      </c>
      <c r="G40" s="56">
        <f>100*(1-EXP(-1/F40))</f>
        <v>3.5350333771333453E-8</v>
      </c>
      <c r="H40" s="56" t="s">
        <v>134</v>
      </c>
      <c r="I40" s="182">
        <f>100*(1-D40*nano*MTTR_2min)</f>
        <v>99.999999999999872</v>
      </c>
      <c r="J40" s="55">
        <f>1-I40/100</f>
        <v>0</v>
      </c>
      <c r="K40" s="54">
        <f>J40*hours_per_year</f>
        <v>0</v>
      </c>
      <c r="L40" s="71">
        <f>J40*min_per_year</f>
        <v>0</v>
      </c>
      <c r="M40" s="191">
        <f>J40*secs_per_year</f>
        <v>0</v>
      </c>
    </row>
    <row r="41" spans="3:13" ht="12.75" customHeight="1">
      <c r="C41" s="79" t="s">
        <v>164</v>
      </c>
      <c r="D41" s="217">
        <f>6*(D32*nano)^2*MTTR_2min/nano</f>
        <v>8.0708512500000013E-5</v>
      </c>
      <c r="E41" s="57">
        <f>1/(nano*D41)</f>
        <v>12390266763992.209</v>
      </c>
      <c r="F41" s="57">
        <f>1/(hours_per_year*nano*D41)</f>
        <v>1414414014.1543617</v>
      </c>
      <c r="G41" s="56">
        <f>100*(1-EXP(-1/F41))</f>
        <v>7.070065644043666E-8</v>
      </c>
      <c r="H41" s="56" t="s">
        <v>136</v>
      </c>
      <c r="I41" s="182">
        <f>100*(1-D41*nano*MTTR_5min)</f>
        <v>99.999999999999318</v>
      </c>
      <c r="J41" s="55">
        <f>1-I41/100</f>
        <v>6.7723604502134549E-15</v>
      </c>
      <c r="K41" s="54">
        <f>J41*hours_per_year</f>
        <v>5.9325877543869865E-11</v>
      </c>
      <c r="L41" s="71">
        <f>J41*min_per_year</f>
        <v>3.5595526526321919E-9</v>
      </c>
      <c r="M41" s="191">
        <f>J41*secs_per_year</f>
        <v>2.1357315915793151E-7</v>
      </c>
    </row>
    <row r="42" spans="3:13" ht="12.75" customHeight="1">
      <c r="C42" s="79" t="s">
        <v>165</v>
      </c>
      <c r="D42" s="217">
        <f>6*(D32*nano)^2*MTTR_3min/nano</f>
        <v>1.2106276875000005E-4</v>
      </c>
      <c r="E42" s="57">
        <f>1/(nano*D42)</f>
        <v>8260177842661.4717</v>
      </c>
      <c r="F42" s="57">
        <f>1/(hours_per_year*nano*D42)</f>
        <v>942942676.10290766</v>
      </c>
      <c r="G42" s="56">
        <f>100*(1-EXP(-1/F42))</f>
        <v>1.0605099021177011E-7</v>
      </c>
      <c r="H42" s="56" t="s">
        <v>138</v>
      </c>
      <c r="I42" s="182">
        <f>100*(1-D42*nano*MTTR_10min)</f>
        <v>99.999999999997982</v>
      </c>
      <c r="J42" s="55">
        <f>1-I42/100</f>
        <v>2.0206059048177849E-14</v>
      </c>
      <c r="K42" s="54">
        <f>J42*hours_per_year</f>
        <v>1.7700507726203796E-10</v>
      </c>
      <c r="L42" s="71">
        <f>J42*min_per_year</f>
        <v>1.0620304635722277E-8</v>
      </c>
      <c r="M42" s="191">
        <f>J42*secs_per_year</f>
        <v>6.3721827814333665E-7</v>
      </c>
    </row>
    <row r="43" spans="3:13" ht="12.75" customHeight="1">
      <c r="C43" s="79" t="s">
        <v>166</v>
      </c>
      <c r="D43" s="218">
        <f>6*(D32*nano)^2*MTTR_1h/nano</f>
        <v>2.4212553750000004E-3</v>
      </c>
      <c r="E43" s="205">
        <f>1/(nano*D43)</f>
        <v>413008892133.07361</v>
      </c>
      <c r="F43" s="205">
        <f>1/(hours_per_year*nano*D43)</f>
        <v>47147133.80514539</v>
      </c>
      <c r="G43" s="206">
        <f>100*(1-EXP(-1/F43))</f>
        <v>2.1210196821108696E-6</v>
      </c>
      <c r="H43" s="206" t="s">
        <v>124</v>
      </c>
      <c r="I43" s="207">
        <f>100*(1-D43*nano*MTTR_1h)</f>
        <v>99.999999999757875</v>
      </c>
      <c r="J43" s="208">
        <f>1-I43/100</f>
        <v>2.4212853944050039E-12</v>
      </c>
      <c r="K43" s="209">
        <f>J43*hours_per_year</f>
        <v>2.1210460054987834E-8</v>
      </c>
      <c r="L43" s="210">
        <f>J43*min_per_year</f>
        <v>1.27262760329927E-6</v>
      </c>
      <c r="M43" s="211">
        <f>J43*secs_per_year</f>
        <v>7.6357656197956203E-5</v>
      </c>
    </row>
    <row r="44" spans="3:13" ht="12.75" customHeight="1">
      <c r="C44" s="204" t="s">
        <v>118</v>
      </c>
      <c r="D44" s="219"/>
      <c r="E44" s="185"/>
      <c r="F44" s="185"/>
      <c r="G44" s="186"/>
      <c r="H44" s="186"/>
      <c r="I44" s="108"/>
      <c r="J44" s="187"/>
      <c r="K44" s="188"/>
      <c r="L44" s="189"/>
      <c r="M44" s="190"/>
    </row>
    <row r="45" spans="3:13" ht="12.75" customHeight="1">
      <c r="C45" s="79" t="s">
        <v>168</v>
      </c>
      <c r="D45" s="217" t="e">
        <f>(1/E45)/nano</f>
        <v>#DIV/0!</v>
      </c>
      <c r="E45" s="57" t="e">
        <f>I45*MTTR_2min/(1-I45)</f>
        <v>#DIV/0!</v>
      </c>
      <c r="F45" s="57" t="e">
        <f>E45/hours_per_year</f>
        <v>#DIV/0!</v>
      </c>
      <c r="G45" s="192" t="e">
        <f>100*(1-EXP(-1/F45))</f>
        <v>#DIV/0!</v>
      </c>
      <c r="H45" s="56" t="s">
        <v>134</v>
      </c>
      <c r="I45" s="109">
        <f>1-J45</f>
        <v>1</v>
      </c>
      <c r="J45" s="55">
        <f>M45/secs_per_year</f>
        <v>0</v>
      </c>
      <c r="K45" s="54">
        <f>J45*hours_per_year</f>
        <v>0</v>
      </c>
      <c r="L45" s="71">
        <f>J45*min_per_year</f>
        <v>0</v>
      </c>
      <c r="M45" s="191">
        <f>M40*9</f>
        <v>0</v>
      </c>
    </row>
    <row r="46" spans="3:13" ht="12.75" customHeight="1">
      <c r="C46" s="79" t="s">
        <v>170</v>
      </c>
      <c r="D46" s="217">
        <f>(1/E46)/nano</f>
        <v>7.3141492862309769E-4</v>
      </c>
      <c r="E46" s="57">
        <f>I46*MTTR_5min/(1-I46)</f>
        <v>1367213001630.304</v>
      </c>
      <c r="F46" s="57">
        <f>E46/hours_per_year</f>
        <v>156074543.5651032</v>
      </c>
      <c r="G46" s="192">
        <f t="shared" ref="G46:G48" si="8">100*(1-EXP(-1/F46))</f>
        <v>6.4071947747379454E-7</v>
      </c>
      <c r="H46" s="56" t="s">
        <v>136</v>
      </c>
      <c r="I46" s="109">
        <f t="shared" ref="I46:I48" si="9">1-J46</f>
        <v>0.99999999999993905</v>
      </c>
      <c r="J46" s="55">
        <f>M46/secs_per_year</f>
        <v>6.0951244051921094E-14</v>
      </c>
      <c r="K46" s="54">
        <f>J46*hours_per_year</f>
        <v>5.3393289789482878E-10</v>
      </c>
      <c r="L46" s="71">
        <f>J46*min_per_year</f>
        <v>3.2035973873689727E-8</v>
      </c>
      <c r="M46" s="191">
        <f>M41*9</f>
        <v>1.9221584324213836E-6</v>
      </c>
    </row>
    <row r="47" spans="3:13" ht="12.75" customHeight="1">
      <c r="C47" s="79" t="s">
        <v>171</v>
      </c>
      <c r="D47" s="217">
        <f>(1/E47)/nano</f>
        <v>1.0911271886018023E-3</v>
      </c>
      <c r="E47" s="57">
        <f>I47*MTTR_10min/(1-I47)</f>
        <v>916483440653.16992</v>
      </c>
      <c r="F47" s="57">
        <f>E47/hours_per_year</f>
        <v>104621397.33483675</v>
      </c>
      <c r="G47" s="192">
        <f t="shared" si="8"/>
        <v>9.5582741721500497E-7</v>
      </c>
      <c r="H47" s="56" t="s">
        <v>138</v>
      </c>
      <c r="I47" s="109">
        <f t="shared" si="9"/>
        <v>0.99999999999981815</v>
      </c>
      <c r="J47" s="55">
        <f>M47/secs_per_year</f>
        <v>1.8185453143360064E-13</v>
      </c>
      <c r="K47" s="54">
        <f>J47*hours_per_year</f>
        <v>1.5930456953583416E-9</v>
      </c>
      <c r="L47" s="71">
        <f>J47*min_per_year</f>
        <v>9.5582741721500497E-8</v>
      </c>
      <c r="M47" s="191">
        <f>M42*9</f>
        <v>5.7349645032900298E-6</v>
      </c>
    </row>
    <row r="48" spans="3:13" ht="12.75" customHeight="1">
      <c r="C48" s="79" t="s">
        <v>172</v>
      </c>
      <c r="D48" s="217">
        <f>(1/E48)/nano</f>
        <v>2.1791568550119905E-2</v>
      </c>
      <c r="E48" s="57">
        <f>I48*MTTR_1h/(1-I48)</f>
        <v>45889307954.130615</v>
      </c>
      <c r="F48" s="57">
        <f>E48/hours_per_year</f>
        <v>5238505.4742158232</v>
      </c>
      <c r="G48" s="192">
        <f t="shared" si="8"/>
        <v>1.908941222872329E-5</v>
      </c>
      <c r="H48" s="56" t="s">
        <v>124</v>
      </c>
      <c r="I48" s="109">
        <f t="shared" si="9"/>
        <v>0.99999999997820843</v>
      </c>
      <c r="J48" s="55">
        <f>M48/secs_per_year</f>
        <v>2.1791568549645035E-11</v>
      </c>
      <c r="K48" s="54">
        <f>J48*hours_per_year</f>
        <v>1.9089414049489051E-7</v>
      </c>
      <c r="L48" s="71">
        <f>J48*min_per_year</f>
        <v>1.145364842969343E-5</v>
      </c>
      <c r="M48" s="191">
        <f>M43*9</f>
        <v>6.8721890578160583E-4</v>
      </c>
    </row>
    <row r="49" spans="3:15" ht="12.75" customHeight="1">
      <c r="C49" s="79"/>
      <c r="D49" s="180"/>
      <c r="E49" s="57"/>
      <c r="F49" s="57"/>
      <c r="G49" s="192"/>
      <c r="H49" s="56"/>
      <c r="I49" s="182"/>
      <c r="J49" s="55"/>
      <c r="K49" s="54"/>
      <c r="L49" s="71"/>
      <c r="M49" s="191"/>
    </row>
    <row r="50" spans="3:15" ht="12.75" customHeight="1" thickBot="1">
      <c r="C50" s="193" t="s">
        <v>155</v>
      </c>
      <c r="D50" s="212">
        <f>D31+D36+D37</f>
        <v>1911.6802320639999</v>
      </c>
      <c r="E50" s="195"/>
      <c r="F50" s="195"/>
      <c r="G50" s="196"/>
      <c r="H50" s="196"/>
      <c r="I50" s="197"/>
      <c r="J50" s="198"/>
      <c r="K50" s="199"/>
      <c r="L50" s="200"/>
      <c r="M50" s="222"/>
    </row>
    <row r="51" spans="3:15" ht="13.8" thickBot="1"/>
    <row r="52" spans="3:15" ht="12.75" customHeight="1">
      <c r="C52" s="73" t="s">
        <v>156</v>
      </c>
      <c r="D52" s="76"/>
      <c r="E52" s="76"/>
      <c r="F52" s="76"/>
      <c r="G52" s="76"/>
      <c r="H52" s="76"/>
      <c r="I52" s="76"/>
      <c r="J52" s="76"/>
      <c r="K52" s="76"/>
      <c r="L52" s="76"/>
      <c r="M52" s="77"/>
    </row>
    <row r="53" spans="3:15" customFormat="1" ht="12.75" customHeight="1">
      <c r="C53" s="87" t="s">
        <v>157</v>
      </c>
      <c r="D53" s="192">
        <f>(2*($D$28*$D$50)*nano^2)*MTTR_1h/nano</f>
        <v>0.14575005750505535</v>
      </c>
      <c r="E53" s="57">
        <f t="shared" ref="E53:E54" si="10">1/(nano*D53)</f>
        <v>6861060757.8341084</v>
      </c>
      <c r="F53" s="57">
        <f t="shared" ref="F53:F54" si="11">1/(hours_per_year*nano*D53)</f>
        <v>783226.1139080032</v>
      </c>
      <c r="G53" s="56">
        <f t="shared" ref="G53:G54" si="12">100*(1-EXP(-1/F53))</f>
        <v>1.2767696886406554E-4</v>
      </c>
      <c r="H53" s="56" t="s">
        <v>124</v>
      </c>
      <c r="I53" s="182">
        <f>100*(1-D53*nano*MTTR_1h)</f>
        <v>99.999999985424992</v>
      </c>
      <c r="J53" s="55">
        <f t="shared" ref="J53:J54" si="13">1-I53/100</f>
        <v>1.4575007867279055E-10</v>
      </c>
      <c r="K53" s="54">
        <f t="shared" ref="K53:K54" si="14">J53*hours_per_year</f>
        <v>1.2767706891736452E-6</v>
      </c>
      <c r="L53" s="71">
        <f t="shared" ref="L53:L54" si="15">J53*min_per_year</f>
        <v>7.6606241350418713E-5</v>
      </c>
      <c r="M53" s="80">
        <f t="shared" ref="M53:M54" si="16">J53*secs_per_year</f>
        <v>4.5963744810251228E-3</v>
      </c>
      <c r="N53" s="49" t="s">
        <v>173</v>
      </c>
      <c r="O53" s="13"/>
    </row>
    <row r="54" spans="3:15" customFormat="1" ht="12.75" customHeight="1">
      <c r="C54" s="226"/>
      <c r="D54" s="223">
        <f>(2*($D$28*$D$50)*nano^2)*MTTR_15min/nano</f>
        <v>3.6437514376263837E-2</v>
      </c>
      <c r="E54" s="205">
        <f t="shared" si="10"/>
        <v>27444243031.336433</v>
      </c>
      <c r="F54" s="205">
        <f t="shared" si="11"/>
        <v>3132904.4556320128</v>
      </c>
      <c r="G54" s="206">
        <f t="shared" si="12"/>
        <v>3.1919257503787435E-5</v>
      </c>
      <c r="H54" s="206" t="s">
        <v>158</v>
      </c>
      <c r="I54" s="207">
        <f>100*(1-D54*nano*MTTR_15min)</f>
        <v>99.999999999089056</v>
      </c>
      <c r="J54" s="208">
        <f t="shared" si="13"/>
        <v>9.1094909393518719E-12</v>
      </c>
      <c r="K54" s="209">
        <f t="shared" si="14"/>
        <v>7.9799140628722398E-8</v>
      </c>
      <c r="L54" s="210">
        <f t="shared" si="15"/>
        <v>4.7879484377233439E-6</v>
      </c>
      <c r="M54" s="224">
        <f t="shared" si="16"/>
        <v>2.8727690626340063E-4</v>
      </c>
      <c r="O54" s="13"/>
    </row>
    <row r="55" spans="3:15" customFormat="1" ht="12.75" customHeight="1">
      <c r="C55" s="87" t="s">
        <v>174</v>
      </c>
      <c r="D55" s="229">
        <f>(1/E55)/nano</f>
        <v>1.3117507097758048</v>
      </c>
      <c r="E55" s="57">
        <f>I55*MTTR_1h/(1-I55)</f>
        <v>762339972.48677909</v>
      </c>
      <c r="F55" s="57">
        <f>E55/hours_per_year</f>
        <v>87025.111014472495</v>
      </c>
      <c r="G55" s="192">
        <f>100*(1-EXP(-1/F55))</f>
        <v>1.1490870197028435E-3</v>
      </c>
      <c r="H55" s="56" t="s">
        <v>124</v>
      </c>
      <c r="I55" s="182">
        <f>(1-J55)</f>
        <v>0.99999999868824929</v>
      </c>
      <c r="J55" s="55">
        <f>M55/secs_per_year</f>
        <v>1.311750708055115E-9</v>
      </c>
      <c r="K55" s="54">
        <f>J55*hours_per_year</f>
        <v>1.1490936202562807E-5</v>
      </c>
      <c r="L55" s="71">
        <f>J55*min_per_year</f>
        <v>6.8945617215376842E-4</v>
      </c>
      <c r="M55" s="80">
        <f>9*M53</f>
        <v>4.1367370329226105E-2</v>
      </c>
      <c r="N55" s="49" t="s">
        <v>173</v>
      </c>
      <c r="O55" s="13"/>
    </row>
    <row r="56" spans="3:15" ht="13.8" thickBot="1">
      <c r="C56" s="93"/>
      <c r="D56" s="228">
        <f>(1/E56)/nano</f>
        <v>8.1985418460888443E-2</v>
      </c>
      <c r="E56" s="195">
        <f>I56*MTTR_1h/(1-I56)</f>
        <v>12197290917.982628</v>
      </c>
      <c r="F56" s="195">
        <f>E56/hours_per_year</f>
        <v>1392384.8079888844</v>
      </c>
      <c r="G56" s="213">
        <f>100*(1-EXP(-1/F56))</f>
        <v>7.1819200786471526E-5</v>
      </c>
      <c r="H56" s="196" t="s">
        <v>158</v>
      </c>
      <c r="I56" s="230">
        <f>(1-J56)</f>
        <v>0.99999999991801458</v>
      </c>
      <c r="J56" s="198">
        <f>M56/secs_per_year</f>
        <v>8.1985418454166847E-11</v>
      </c>
      <c r="K56" s="199">
        <f>J56*hours_per_year</f>
        <v>7.1819226565850158E-7</v>
      </c>
      <c r="L56" s="200">
        <f>J56*min_per_year</f>
        <v>4.3091535939510095E-5</v>
      </c>
      <c r="M56" s="201">
        <f>M54*9</f>
        <v>2.5854921563706057E-3</v>
      </c>
    </row>
    <row r="57" spans="3:15" customFormat="1"/>
    <row r="58" spans="3:15" customFormat="1"/>
    <row r="59" spans="3:15" customFormat="1">
      <c r="D59" s="234"/>
    </row>
    <row r="60" spans="3:15" customFormat="1"/>
    <row r="61" spans="3:15">
      <c r="C61"/>
      <c r="D61"/>
      <c r="E61"/>
      <c r="F61"/>
      <c r="G61"/>
      <c r="H61"/>
      <c r="I61"/>
      <c r="J61"/>
      <c r="K61"/>
      <c r="L61"/>
      <c r="M61"/>
    </row>
    <row r="62" spans="3:15">
      <c r="C62"/>
      <c r="D62"/>
      <c r="E62"/>
      <c r="F62"/>
      <c r="G62"/>
      <c r="H62"/>
      <c r="I62"/>
      <c r="J62"/>
      <c r="K62"/>
      <c r="L62"/>
      <c r="M62"/>
    </row>
    <row r="63" spans="3:15">
      <c r="C63"/>
      <c r="D63"/>
      <c r="E63"/>
      <c r="F63"/>
      <c r="G63"/>
      <c r="H63"/>
      <c r="I63"/>
      <c r="J63"/>
      <c r="K63"/>
      <c r="L63"/>
      <c r="M63"/>
    </row>
    <row r="64" spans="3:15">
      <c r="C64"/>
      <c r="D64"/>
      <c r="E64"/>
      <c r="F64"/>
      <c r="G64"/>
      <c r="H64"/>
      <c r="I64"/>
      <c r="J64"/>
      <c r="K64"/>
      <c r="L64"/>
      <c r="M64"/>
    </row>
    <row r="65" spans="3:13">
      <c r="C65"/>
      <c r="D65"/>
      <c r="E65"/>
      <c r="F65"/>
      <c r="G65"/>
      <c r="H65"/>
      <c r="I65"/>
      <c r="J65"/>
      <c r="K65"/>
      <c r="L65"/>
      <c r="M65"/>
    </row>
    <row r="66" spans="3:13">
      <c r="C66"/>
      <c r="D66"/>
      <c r="E66"/>
      <c r="F66"/>
      <c r="G66"/>
      <c r="H66"/>
      <c r="I66"/>
      <c r="J66"/>
      <c r="K66"/>
      <c r="L66"/>
      <c r="M66"/>
    </row>
    <row r="67" spans="3:13">
      <c r="C67"/>
      <c r="D67"/>
      <c r="E67"/>
      <c r="F67"/>
      <c r="G67"/>
      <c r="H67"/>
      <c r="I67"/>
      <c r="J67"/>
      <c r="K67"/>
      <c r="L67"/>
      <c r="M67"/>
    </row>
    <row r="68" spans="3:13">
      <c r="C68"/>
      <c r="D68"/>
      <c r="E68"/>
      <c r="F68"/>
      <c r="G68"/>
      <c r="H68"/>
      <c r="I68"/>
      <c r="J68"/>
      <c r="K68"/>
      <c r="L68"/>
      <c r="M68"/>
    </row>
    <row r="69" spans="3:13">
      <c r="C69"/>
      <c r="D69"/>
      <c r="E69"/>
      <c r="F69"/>
      <c r="G69"/>
      <c r="H69"/>
      <c r="I69"/>
      <c r="J69"/>
      <c r="K69"/>
      <c r="L69"/>
      <c r="M69"/>
    </row>
    <row r="70" spans="3:13">
      <c r="C70"/>
      <c r="D70"/>
      <c r="E70"/>
      <c r="F70"/>
      <c r="G70"/>
      <c r="H70"/>
      <c r="I70"/>
      <c r="J70"/>
      <c r="K70"/>
      <c r="L70"/>
      <c r="M70"/>
    </row>
    <row r="71" spans="3:13">
      <c r="C71"/>
      <c r="D71"/>
      <c r="E71"/>
      <c r="F71"/>
      <c r="G71"/>
      <c r="H71"/>
      <c r="I71"/>
      <c r="J71"/>
      <c r="K71"/>
      <c r="L71"/>
      <c r="M71"/>
    </row>
    <row r="72" spans="3:13">
      <c r="C72"/>
      <c r="D72"/>
      <c r="E72"/>
      <c r="F72"/>
      <c r="G72"/>
      <c r="H72"/>
      <c r="I72"/>
      <c r="J72"/>
      <c r="K72"/>
      <c r="L72"/>
      <c r="M72"/>
    </row>
    <row r="73" spans="3:13">
      <c r="C73"/>
      <c r="D73"/>
      <c r="E73"/>
      <c r="F73"/>
      <c r="G73"/>
      <c r="H73"/>
      <c r="I73"/>
      <c r="J73"/>
      <c r="K73"/>
      <c r="L73"/>
      <c r="M73"/>
    </row>
    <row r="74" spans="3:13">
      <c r="C74"/>
      <c r="D74"/>
      <c r="E74"/>
      <c r="F74"/>
      <c r="G74"/>
      <c r="H74"/>
      <c r="I74"/>
      <c r="J74"/>
      <c r="K74"/>
      <c r="L74"/>
      <c r="M74"/>
    </row>
    <row r="75" spans="3:13">
      <c r="C75"/>
      <c r="D75"/>
      <c r="E75"/>
      <c r="F75"/>
      <c r="G75"/>
      <c r="H75"/>
      <c r="I75"/>
      <c r="J75"/>
      <c r="K75"/>
      <c r="L75"/>
      <c r="M75"/>
    </row>
    <row r="76" spans="3:13">
      <c r="C76"/>
      <c r="D76"/>
      <c r="E76"/>
      <c r="F76"/>
      <c r="G76"/>
      <c r="H76"/>
      <c r="I76"/>
      <c r="J76"/>
      <c r="K76"/>
      <c r="L76"/>
      <c r="M76"/>
    </row>
    <row r="77" spans="3:13">
      <c r="C77"/>
      <c r="D77"/>
      <c r="E77"/>
      <c r="F77"/>
      <c r="G77"/>
      <c r="H77"/>
      <c r="I77"/>
      <c r="J77"/>
      <c r="K77"/>
      <c r="L77"/>
      <c r="M77"/>
    </row>
    <row r="78" spans="3:13">
      <c r="C78"/>
      <c r="D78"/>
      <c r="E78"/>
      <c r="F78"/>
      <c r="G78"/>
      <c r="H78"/>
      <c r="I78"/>
      <c r="J78"/>
      <c r="K78"/>
      <c r="L78"/>
      <c r="M78"/>
    </row>
    <row r="79" spans="3:13">
      <c r="C79"/>
      <c r="D79"/>
      <c r="E79"/>
      <c r="F79"/>
      <c r="G79"/>
      <c r="H79"/>
      <c r="I79"/>
      <c r="J79"/>
      <c r="K79"/>
      <c r="L79"/>
      <c r="M79"/>
    </row>
    <row r="80" spans="3:13">
      <c r="C80"/>
      <c r="D80"/>
      <c r="E80"/>
      <c r="F80"/>
      <c r="G80"/>
      <c r="H80"/>
      <c r="I80"/>
      <c r="J80"/>
      <c r="K80"/>
      <c r="L80"/>
      <c r="M80"/>
    </row>
    <row r="81" spans="1:13">
      <c r="C81"/>
      <c r="D81"/>
      <c r="E81"/>
      <c r="F81"/>
      <c r="G81"/>
      <c r="H81"/>
      <c r="I81"/>
      <c r="J81"/>
      <c r="K81"/>
      <c r="L81"/>
      <c r="M81"/>
    </row>
    <row r="82" spans="1:13">
      <c r="C82"/>
      <c r="D82"/>
      <c r="E82"/>
      <c r="F82"/>
      <c r="G82"/>
      <c r="H82"/>
      <c r="I82"/>
      <c r="J82"/>
      <c r="K82"/>
      <c r="L82"/>
      <c r="M82"/>
    </row>
    <row r="83" spans="1:13">
      <c r="C83"/>
      <c r="D83"/>
      <c r="E83"/>
      <c r="F83"/>
      <c r="G83"/>
      <c r="H83"/>
      <c r="I83"/>
      <c r="J83"/>
      <c r="K83"/>
      <c r="L83"/>
      <c r="M83"/>
    </row>
    <row r="84" spans="1:13">
      <c r="C84"/>
      <c r="D84"/>
      <c r="E84"/>
      <c r="F84"/>
      <c r="G84"/>
      <c r="H84"/>
      <c r="I84"/>
      <c r="J84"/>
      <c r="K84"/>
      <c r="L84"/>
      <c r="M84"/>
    </row>
    <row r="85" spans="1:13">
      <c r="C85"/>
      <c r="D85"/>
      <c r="E85"/>
      <c r="F85"/>
      <c r="G85"/>
      <c r="H85"/>
      <c r="I85"/>
      <c r="J85"/>
      <c r="K85"/>
      <c r="L85"/>
      <c r="M85"/>
    </row>
    <row r="86" spans="1:13">
      <c r="C86"/>
      <c r="D86"/>
      <c r="E86"/>
      <c r="F86"/>
      <c r="G86"/>
      <c r="H86"/>
      <c r="I86"/>
      <c r="J86"/>
      <c r="K86"/>
      <c r="L86"/>
      <c r="M86"/>
    </row>
    <row r="87" spans="1:13">
      <c r="A87"/>
      <c r="B87"/>
      <c r="C87"/>
      <c r="D87"/>
      <c r="E87"/>
      <c r="F87"/>
      <c r="G87"/>
      <c r="H87"/>
      <c r="I87"/>
      <c r="J87"/>
      <c r="K87"/>
      <c r="L87"/>
      <c r="M87"/>
    </row>
    <row r="88" spans="1:13">
      <c r="A88"/>
      <c r="B88"/>
      <c r="C88"/>
      <c r="D88"/>
      <c r="E88"/>
      <c r="F88"/>
      <c r="G88"/>
      <c r="H88"/>
      <c r="I88"/>
      <c r="J88"/>
      <c r="K88"/>
      <c r="L88"/>
      <c r="M88"/>
    </row>
    <row r="89" spans="1:13">
      <c r="A89"/>
      <c r="B89"/>
      <c r="C89"/>
      <c r="D89"/>
      <c r="E89"/>
      <c r="F89"/>
      <c r="G89"/>
      <c r="H89"/>
      <c r="I89"/>
      <c r="J89"/>
      <c r="K89"/>
      <c r="L89"/>
      <c r="M89"/>
    </row>
    <row r="90" spans="1:13">
      <c r="A90"/>
      <c r="B90"/>
      <c r="C90"/>
      <c r="D90"/>
      <c r="E90"/>
      <c r="F90"/>
      <c r="G90"/>
      <c r="H90"/>
      <c r="I90"/>
      <c r="J90"/>
      <c r="K90"/>
      <c r="L90"/>
      <c r="M90"/>
    </row>
    <row r="91" spans="1:13">
      <c r="A91"/>
      <c r="B91"/>
      <c r="C91"/>
      <c r="D91"/>
      <c r="E91"/>
      <c r="F91"/>
      <c r="G91"/>
      <c r="H91"/>
      <c r="I91"/>
      <c r="J91"/>
      <c r="K91"/>
      <c r="L91"/>
      <c r="M91"/>
    </row>
    <row r="92" spans="1:13">
      <c r="A92"/>
      <c r="B92"/>
      <c r="C92"/>
      <c r="D92"/>
      <c r="E92"/>
      <c r="F92"/>
      <c r="G92"/>
      <c r="H92"/>
      <c r="I92"/>
      <c r="J92"/>
      <c r="K92"/>
      <c r="L92"/>
    </row>
    <row r="93" spans="1:13">
      <c r="A93"/>
      <c r="B93"/>
      <c r="C93"/>
      <c r="D93"/>
      <c r="E93"/>
      <c r="F93"/>
      <c r="G93"/>
      <c r="H93"/>
      <c r="I93"/>
      <c r="J93"/>
      <c r="K93"/>
      <c r="L93"/>
    </row>
    <row r="94" spans="1:13">
      <c r="A94"/>
      <c r="B94"/>
      <c r="C94"/>
      <c r="D94"/>
      <c r="E94"/>
      <c r="F94"/>
      <c r="G94"/>
      <c r="H94"/>
      <c r="I94"/>
      <c r="J94"/>
      <c r="K94"/>
      <c r="L94"/>
    </row>
    <row r="95" spans="1:13">
      <c r="A95"/>
      <c r="B95"/>
      <c r="C95"/>
      <c r="D95"/>
      <c r="E95"/>
      <c r="F95"/>
      <c r="G95"/>
      <c r="H95"/>
      <c r="I95"/>
      <c r="J95"/>
      <c r="K95"/>
      <c r="L95"/>
    </row>
    <row r="96" spans="1:13">
      <c r="A96"/>
      <c r="B96"/>
      <c r="C96"/>
      <c r="D96"/>
      <c r="E96"/>
      <c r="F96"/>
      <c r="G96"/>
      <c r="H96"/>
      <c r="I96"/>
      <c r="J96"/>
      <c r="K96"/>
      <c r="L96"/>
    </row>
    <row r="97" spans="3:12">
      <c r="C97"/>
      <c r="D97"/>
      <c r="E97"/>
      <c r="F97"/>
      <c r="G97"/>
      <c r="H97"/>
      <c r="I97"/>
      <c r="J97"/>
      <c r="K97"/>
      <c r="L97"/>
    </row>
    <row r="98" spans="3:12">
      <c r="C98"/>
      <c r="D98"/>
      <c r="E98"/>
      <c r="F98"/>
      <c r="G98"/>
      <c r="H98"/>
      <c r="I98"/>
      <c r="J98"/>
      <c r="K98"/>
      <c r="L98"/>
    </row>
    <row r="99" spans="3:12">
      <c r="C99"/>
      <c r="D99"/>
      <c r="E99"/>
      <c r="F99"/>
      <c r="G99"/>
      <c r="H99"/>
      <c r="I99"/>
      <c r="J99"/>
      <c r="K99"/>
      <c r="L99"/>
    </row>
    <row r="100" spans="3:12">
      <c r="C100"/>
      <c r="D100"/>
      <c r="E100"/>
      <c r="F100"/>
      <c r="G100"/>
      <c r="H100"/>
      <c r="I100"/>
      <c r="J100"/>
      <c r="K100"/>
      <c r="L100"/>
    </row>
    <row r="101" spans="3:12">
      <c r="C101"/>
      <c r="D101"/>
      <c r="E101"/>
      <c r="F101"/>
      <c r="G101"/>
      <c r="H101"/>
      <c r="I101"/>
      <c r="J101"/>
      <c r="K101"/>
      <c r="L101"/>
    </row>
  </sheetData>
  <mergeCells count="7">
    <mergeCell ref="D4:G4"/>
    <mergeCell ref="H4:H6"/>
    <mergeCell ref="J4:M5"/>
    <mergeCell ref="C5:C6"/>
    <mergeCell ref="G5:G6"/>
    <mergeCell ref="I5:I6"/>
    <mergeCell ref="D6:F6"/>
  </mergeCells>
  <conditionalFormatting sqref="L17">
    <cfRule type="cellIs" dxfId="58" priority="61" operator="greaterThan">
      <formula>5.3</formula>
    </cfRule>
  </conditionalFormatting>
  <conditionalFormatting sqref="L18:L21">
    <cfRule type="cellIs" dxfId="57" priority="10" operator="greaterThan">
      <formula>26.3</formula>
    </cfRule>
  </conditionalFormatting>
  <conditionalFormatting sqref="L22:L28">
    <cfRule type="cellIs" dxfId="56" priority="11" operator="greaterThan">
      <formula>5.3</formula>
    </cfRule>
  </conditionalFormatting>
  <conditionalFormatting sqref="L39">
    <cfRule type="cellIs" dxfId="55" priority="47" operator="greaterThan">
      <formula>5.3</formula>
    </cfRule>
  </conditionalFormatting>
  <conditionalFormatting sqref="L40:L43">
    <cfRule type="cellIs" dxfId="54" priority="1" operator="greaterThan">
      <formula>26.3</formula>
    </cfRule>
  </conditionalFormatting>
  <conditionalFormatting sqref="L44:L50">
    <cfRule type="cellIs" dxfId="53" priority="2" operator="greaterThan">
      <formula>5.3</formula>
    </cfRule>
  </conditionalFormatting>
  <conditionalFormatting sqref="L55:L56">
    <cfRule type="cellIs" dxfId="52" priority="19" operator="greaterThan">
      <formula>26.3</formula>
    </cfRule>
  </conditionalFormatting>
  <printOptions horizontalCentered="1" verticalCentered="1"/>
  <pageMargins left="0.19685039370078741" right="0.19685039370078741" top="0.39370078740157483" bottom="0.39370078740157483" header="0.19685039370078741" footer="0.19685039370078741"/>
  <pageSetup paperSize="9" scale="49" orientation="landscape" r:id="rId1"/>
  <headerFooter alignWithMargins="0">
    <oddHeader>&amp;C&amp;G&amp;L&amp;"Arial Black"&amp;10&amp;K76923C&amp;1#</oddHeader>
    <oddFooter>&amp;L3BU 60003 0250 DUAPA, Ed.01&amp;C&amp;9©Ground Transportation Systems Austria GmbH&amp;R&amp;8 6/7
Template: 83530213-DOC-AUT-EN / 001</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CFA60-0DFE-4714-8AB2-D6C4D432291A}">
  <sheetPr>
    <tabColor theme="5" tint="0.79998168889431442"/>
    <pageSetUpPr fitToPage="1"/>
  </sheetPr>
  <dimension ref="A4:S95"/>
  <sheetViews>
    <sheetView showGridLines="0" topLeftCell="A15" zoomScaleNormal="100" zoomScaleSheetLayoutView="100" zoomScalePageLayoutView="115" workbookViewId="0">
      <selection activeCell="C37" sqref="C37"/>
    </sheetView>
  </sheetViews>
  <sheetFormatPr defaultColWidth="11.44140625" defaultRowHeight="13.2"/>
  <cols>
    <col min="1" max="1" width="11.44140625" style="13"/>
    <col min="2" max="2" width="9.88671875" style="13" customWidth="1"/>
    <col min="3" max="3" width="67.5546875" style="13" customWidth="1"/>
    <col min="4" max="4" width="10.109375" style="13" customWidth="1"/>
    <col min="5" max="5" width="22.44140625" style="13" customWidth="1"/>
    <col min="6" max="6" width="12.33203125" style="13" customWidth="1"/>
    <col min="7" max="7" width="11.44140625" style="13"/>
    <col min="8" max="8" width="14.109375" style="13" bestFit="1" customWidth="1"/>
    <col min="9" max="9" width="21.6640625" style="13" customWidth="1"/>
    <col min="10" max="10" width="11.44140625" style="13"/>
    <col min="11" max="11" width="6" style="13" customWidth="1"/>
    <col min="12" max="12" width="8.44140625" style="13" bestFit="1" customWidth="1"/>
    <col min="13" max="13" width="9.88671875" style="13" bestFit="1" customWidth="1"/>
    <col min="14" max="14" width="11.44140625" style="13"/>
    <col min="15" max="15" width="14.33203125" style="13" bestFit="1" customWidth="1"/>
    <col min="16" max="16384" width="11.44140625" style="13"/>
  </cols>
  <sheetData>
    <row r="4" spans="3:19" ht="24">
      <c r="D4" s="479" t="s">
        <v>7</v>
      </c>
      <c r="E4" s="480"/>
      <c r="F4" s="480"/>
      <c r="G4" s="481"/>
      <c r="H4" s="482" t="s">
        <v>94</v>
      </c>
      <c r="I4" s="63" t="s">
        <v>95</v>
      </c>
      <c r="J4" s="485" t="s">
        <v>77</v>
      </c>
      <c r="K4" s="486"/>
      <c r="L4" s="486"/>
      <c r="M4" s="487"/>
    </row>
    <row r="5" spans="3:19" ht="15" customHeight="1">
      <c r="C5" s="479" t="s">
        <v>175</v>
      </c>
      <c r="D5" s="63" t="s">
        <v>96</v>
      </c>
      <c r="E5" s="63" t="s">
        <v>97</v>
      </c>
      <c r="F5" s="63" t="s">
        <v>98</v>
      </c>
      <c r="G5" s="491" t="s">
        <v>99</v>
      </c>
      <c r="H5" s="483"/>
      <c r="I5" s="492" t="s">
        <v>100</v>
      </c>
      <c r="J5" s="488"/>
      <c r="K5" s="489"/>
      <c r="L5" s="489"/>
      <c r="M5" s="490"/>
    </row>
    <row r="6" spans="3:19" ht="12.75" customHeight="1" thickBot="1">
      <c r="C6" s="496"/>
      <c r="D6" s="492" t="s">
        <v>106</v>
      </c>
      <c r="E6" s="492"/>
      <c r="F6" s="492"/>
      <c r="G6" s="487"/>
      <c r="H6" s="483"/>
      <c r="I6" s="497"/>
      <c r="J6" s="62" t="s">
        <v>107</v>
      </c>
      <c r="K6" s="70" t="s">
        <v>108</v>
      </c>
      <c r="L6" s="70" t="s">
        <v>109</v>
      </c>
      <c r="M6" s="70" t="s">
        <v>110</v>
      </c>
      <c r="O6"/>
      <c r="P6"/>
      <c r="Q6"/>
      <c r="R6"/>
      <c r="S6"/>
    </row>
    <row r="7" spans="3:19" ht="12.75" customHeight="1">
      <c r="C7" s="91" t="s">
        <v>81</v>
      </c>
      <c r="D7" s="74"/>
      <c r="E7" s="75"/>
      <c r="F7" s="75"/>
      <c r="G7" s="75"/>
      <c r="H7" s="75"/>
      <c r="I7" s="75"/>
      <c r="J7" s="75"/>
      <c r="K7" s="75"/>
      <c r="L7" s="75"/>
      <c r="M7" s="92"/>
      <c r="O7"/>
      <c r="P7"/>
      <c r="Q7"/>
      <c r="R7"/>
      <c r="S7"/>
    </row>
    <row r="8" spans="3:19" ht="12.75" customHeight="1">
      <c r="C8" s="89" t="s">
        <v>176</v>
      </c>
      <c r="D8" s="97">
        <f>D9+D10</f>
        <v>13340.25</v>
      </c>
      <c r="E8" s="61">
        <f>1/(nano*D8)</f>
        <v>74961.113922152872</v>
      </c>
      <c r="F8" s="61">
        <f>1/(hours_per_year*nano*D8)</f>
        <v>8.5572047856338891</v>
      </c>
      <c r="G8" s="60">
        <f>100*(1-EXP(-1/F8))</f>
        <v>11.029078111979807</v>
      </c>
      <c r="H8" s="60" t="s">
        <v>124</v>
      </c>
      <c r="I8" s="111">
        <f>100*(1-D8*nano*MTTR_1h)</f>
        <v>99.998665974999994</v>
      </c>
      <c r="J8" s="59">
        <f>1-I8/100</f>
        <v>1.3340250000104525E-5</v>
      </c>
      <c r="K8" s="69">
        <f>J8*hours_per_year</f>
        <v>0.11686059000091564</v>
      </c>
      <c r="L8" s="72">
        <f>J8*min_per_year</f>
        <v>7.0116354000549386</v>
      </c>
      <c r="M8" s="78">
        <f>J8*secs_per_year</f>
        <v>420.6981240032963</v>
      </c>
      <c r="O8"/>
      <c r="P8"/>
      <c r="Q8"/>
      <c r="R8"/>
      <c r="S8"/>
    </row>
    <row r="9" spans="3:19" ht="12.75" customHeight="1">
      <c r="C9" s="88" t="s">
        <v>177</v>
      </c>
      <c r="D9" s="98">
        <f>1*Control_Plane+1*Server_Master+1*Data_Storage</f>
        <v>12705</v>
      </c>
      <c r="E9" s="61">
        <f>1/(nano*D9)</f>
        <v>78709.169618260523</v>
      </c>
      <c r="F9" s="61">
        <f>1/(hours_per_year*nano*D9)</f>
        <v>8.9850650249155848</v>
      </c>
      <c r="G9" s="60">
        <f>100*(1-EXP(-1/F9))</f>
        <v>10.532593480424811</v>
      </c>
      <c r="H9" s="60" t="s">
        <v>124</v>
      </c>
      <c r="I9" s="111">
        <f>100*(1-D9*nano*MTTR_1h)</f>
        <v>99.99872950000001</v>
      </c>
      <c r="J9" s="59">
        <f>1-I9/100</f>
        <v>1.2704999999946232E-5</v>
      </c>
      <c r="K9" s="69">
        <f>J9*hours_per_year</f>
        <v>0.11129579999952899</v>
      </c>
      <c r="L9" s="72">
        <f>J9*min_per_year</f>
        <v>6.6777479999717393</v>
      </c>
      <c r="M9" s="78">
        <f>J9*secs_per_year</f>
        <v>400.66487999830434</v>
      </c>
      <c r="O9"/>
      <c r="P9"/>
      <c r="Q9"/>
      <c r="R9"/>
      <c r="S9"/>
    </row>
    <row r="10" spans="3:19" ht="12.75" customHeight="1">
      <c r="C10" s="90" t="s">
        <v>178</v>
      </c>
      <c r="D10" s="99">
        <f>1*Control_Slave+1*Server_Slave+1*Data_Slave</f>
        <v>635.25</v>
      </c>
      <c r="E10" s="81">
        <f>1/(nano*D10)</f>
        <v>1574183.3923652105</v>
      </c>
      <c r="F10" s="81">
        <f>1/(hours_per_year*nano*D10)</f>
        <v>179.70130049831167</v>
      </c>
      <c r="G10" s="82">
        <f t="shared" ref="G10" si="0">100*(1-EXP(-1/F10))</f>
        <v>0.55493352369206939</v>
      </c>
      <c r="H10" s="82" t="s">
        <v>124</v>
      </c>
      <c r="I10" s="112">
        <f>100*(1-D10*nano*MTTR_1h)</f>
        <v>99.999936474999998</v>
      </c>
      <c r="J10" s="83">
        <f t="shared" ref="J10" si="1">1-I10/100</f>
        <v>6.3525000004727161E-7</v>
      </c>
      <c r="K10" s="84">
        <f>J10*hours_per_year</f>
        <v>5.5647900004140993E-3</v>
      </c>
      <c r="L10" s="85">
        <f>J10*min_per_year</f>
        <v>0.33388740002484596</v>
      </c>
      <c r="M10" s="86">
        <f>J10*secs_per_year</f>
        <v>20.033244001490758</v>
      </c>
      <c r="O10"/>
      <c r="P10"/>
      <c r="Q10"/>
      <c r="R10"/>
      <c r="S10"/>
    </row>
    <row r="11" spans="3:19" ht="3.75" customHeight="1">
      <c r="C11" s="89"/>
      <c r="D11" s="98"/>
      <c r="E11" s="61"/>
      <c r="F11" s="61"/>
      <c r="G11" s="60"/>
      <c r="H11" s="60"/>
      <c r="I11" s="111"/>
      <c r="J11" s="59"/>
      <c r="K11" s="69"/>
      <c r="L11" s="72"/>
      <c r="M11" s="78"/>
      <c r="O11"/>
      <c r="P11"/>
      <c r="Q11"/>
      <c r="R11"/>
      <c r="S11"/>
    </row>
    <row r="12" spans="3:19" ht="16.5" customHeight="1">
      <c r="C12" s="89" t="s">
        <v>130</v>
      </c>
      <c r="D12" s="98">
        <f>3*Switch_hot</f>
        <v>4.4476740479999997</v>
      </c>
      <c r="E12" s="61">
        <f>1/(nano*D12)</f>
        <v>224836620.04181114</v>
      </c>
      <c r="F12" s="61">
        <f>1/(hours_per_year*nano*D12)</f>
        <v>25666.280826690767</v>
      </c>
      <c r="G12" s="60">
        <f>100*(1-EXP(-1/F12))</f>
        <v>3.8960865666237687E-3</v>
      </c>
      <c r="H12" s="60" t="s">
        <v>131</v>
      </c>
      <c r="I12" s="111">
        <f>100*(1-D12*nano*MTTR_8h)</f>
        <v>99.999996441860759</v>
      </c>
      <c r="J12" s="59">
        <f>1-I12/100</f>
        <v>3.5581392388017719E-8</v>
      </c>
      <c r="K12" s="58">
        <f>J12*hours_per_year</f>
        <v>3.1169299731903521E-4</v>
      </c>
      <c r="L12" s="72">
        <f>J12*min_per_year</f>
        <v>1.8701579839142113E-2</v>
      </c>
      <c r="M12" s="78">
        <f>J12*secs_per_year</f>
        <v>1.1220947903485268</v>
      </c>
      <c r="O12"/>
      <c r="P12"/>
      <c r="Q12"/>
      <c r="R12"/>
      <c r="S12"/>
    </row>
    <row r="13" spans="3:19" ht="15" customHeight="1">
      <c r="C13" s="89" t="s">
        <v>132</v>
      </c>
      <c r="D13" s="98">
        <f>Switch_hot</f>
        <v>1.482558016</v>
      </c>
      <c r="E13" s="61">
        <f>1/(nano*D13)</f>
        <v>674509860.12543333</v>
      </c>
      <c r="F13" s="61">
        <f>1/(hours_per_year*nano*D13)</f>
        <v>76998.842480072301</v>
      </c>
      <c r="G13" s="60">
        <f>100*(1-EXP(-1/F13))</f>
        <v>1.2987123886754048E-3</v>
      </c>
      <c r="H13" s="60" t="s">
        <v>131</v>
      </c>
      <c r="I13" s="111">
        <f>100*(1-D13*nano*MTTR_8h)</f>
        <v>99.999998813953582</v>
      </c>
      <c r="J13" s="59">
        <f>1-I13/100</f>
        <v>1.1860464166346674E-8</v>
      </c>
      <c r="K13" s="58">
        <f>J13*hours_per_year</f>
        <v>1.0389766609719686E-4</v>
      </c>
      <c r="L13" s="72">
        <f>J13*min_per_year</f>
        <v>6.2338599658318117E-3</v>
      </c>
      <c r="M13" s="78">
        <f>J13*secs_per_year</f>
        <v>0.3740315979499087</v>
      </c>
      <c r="O13"/>
      <c r="P13"/>
      <c r="Q13"/>
      <c r="R13"/>
      <c r="S13"/>
    </row>
    <row r="14" spans="3:19" ht="1.5" customHeight="1">
      <c r="C14" s="89"/>
      <c r="D14" s="98"/>
      <c r="E14" s="61"/>
      <c r="F14" s="61"/>
      <c r="G14" s="60"/>
      <c r="H14" s="60"/>
      <c r="I14" s="111"/>
      <c r="J14" s="59"/>
      <c r="K14" s="58"/>
      <c r="L14" s="72"/>
      <c r="M14" s="78"/>
      <c r="O14"/>
      <c r="P14"/>
      <c r="Q14"/>
      <c r="R14"/>
      <c r="S14"/>
    </row>
    <row r="15" spans="3:19" ht="3.75" customHeight="1">
      <c r="C15" s="90"/>
      <c r="D15" s="100"/>
      <c r="E15" s="81"/>
      <c r="F15" s="81"/>
      <c r="G15" s="82"/>
      <c r="H15" s="82"/>
      <c r="I15" s="113"/>
      <c r="J15" s="83"/>
      <c r="K15" s="94"/>
      <c r="L15" s="95"/>
      <c r="M15" s="96"/>
      <c r="O15"/>
      <c r="P15"/>
      <c r="Q15"/>
      <c r="R15"/>
      <c r="S15"/>
    </row>
    <row r="16" spans="3:19" ht="14.25" customHeight="1">
      <c r="C16" s="204" t="s">
        <v>120</v>
      </c>
      <c r="D16" s="184"/>
      <c r="E16" s="185"/>
      <c r="F16" s="185"/>
      <c r="G16" s="186"/>
      <c r="H16" s="186"/>
      <c r="I16" s="108"/>
      <c r="J16" s="187"/>
      <c r="K16" s="188"/>
      <c r="L16" s="189"/>
      <c r="M16" s="190"/>
      <c r="N16"/>
      <c r="O16"/>
      <c r="P16"/>
      <c r="Q16"/>
      <c r="R16"/>
      <c r="S16"/>
    </row>
    <row r="17" spans="3:19" ht="12.75" customHeight="1">
      <c r="C17" s="79" t="s">
        <v>179</v>
      </c>
      <c r="D17" s="101">
        <f>$D$9</f>
        <v>12705</v>
      </c>
      <c r="E17" s="57">
        <f>1/(nano*D17)</f>
        <v>78709.169618260523</v>
      </c>
      <c r="F17" s="57">
        <f>1/(hours_per_year*nano*D17)</f>
        <v>8.9850650249155848</v>
      </c>
      <c r="G17" s="56">
        <f>100*(1-EXP(-1/F17))</f>
        <v>10.532593480424811</v>
      </c>
      <c r="H17" s="56" t="s">
        <v>134</v>
      </c>
      <c r="I17" s="182">
        <f>100*(1-D17*nano*MTTR_2min)</f>
        <v>99.999957649999999</v>
      </c>
      <c r="J17" s="55">
        <f>1-I17/100</f>
        <v>4.2349999995749954E-7</v>
      </c>
      <c r="K17" s="54">
        <f>J17*hours_per_year</f>
        <v>3.709859999627696E-3</v>
      </c>
      <c r="L17" s="71">
        <f>J17*min_per_year</f>
        <v>0.22259159997766176</v>
      </c>
      <c r="M17" s="232">
        <f>J17*secs_per_year</f>
        <v>13.355495998659705</v>
      </c>
      <c r="N17" s="13" t="s">
        <v>180</v>
      </c>
      <c r="O17"/>
      <c r="P17"/>
      <c r="Q17"/>
      <c r="R17"/>
      <c r="S17"/>
    </row>
    <row r="18" spans="3:19" ht="12.75" customHeight="1">
      <c r="C18" s="79" t="s">
        <v>181</v>
      </c>
      <c r="D18" s="101">
        <f t="shared" ref="D18:D20" si="2">$D$9</f>
        <v>12705</v>
      </c>
      <c r="E18" s="57">
        <f>1/(nano*D18)</f>
        <v>78709.169618260523</v>
      </c>
      <c r="F18" s="57">
        <f>1/(hours_per_year*nano*D18)</f>
        <v>8.9850650249155848</v>
      </c>
      <c r="G18" s="56">
        <f>100*(1-EXP(-1/F18))</f>
        <v>10.532593480424811</v>
      </c>
      <c r="H18" s="56" t="s">
        <v>136</v>
      </c>
      <c r="I18" s="182">
        <f>100*(1-D18*nano*MTTR_5min)</f>
        <v>99.999894124999997</v>
      </c>
      <c r="J18" s="55">
        <f>1-I18/100</f>
        <v>1.0587500000047712E-6</v>
      </c>
      <c r="K18" s="54">
        <f>J18*hours_per_year</f>
        <v>9.2746500000417953E-3</v>
      </c>
      <c r="L18" s="71">
        <f>J18*min_per_year</f>
        <v>0.55647900000250772</v>
      </c>
      <c r="M18" s="232">
        <f>J18*secs_per_year</f>
        <v>33.388740000150463</v>
      </c>
      <c r="O18"/>
      <c r="P18"/>
      <c r="Q18"/>
      <c r="R18"/>
      <c r="S18"/>
    </row>
    <row r="19" spans="3:19" ht="12.75" customHeight="1">
      <c r="C19" s="79" t="s">
        <v>182</v>
      </c>
      <c r="D19" s="101">
        <f t="shared" si="2"/>
        <v>12705</v>
      </c>
      <c r="E19" s="57">
        <f>1/(nano*D19)</f>
        <v>78709.169618260523</v>
      </c>
      <c r="F19" s="57">
        <f>1/(hours_per_year*nano*D19)</f>
        <v>8.9850650249155848</v>
      </c>
      <c r="G19" s="56">
        <f>100*(1-EXP(-1/F19))</f>
        <v>10.532593480424811</v>
      </c>
      <c r="H19" s="56" t="s">
        <v>138</v>
      </c>
      <c r="I19" s="182">
        <f>100*(1-D19*nano*MTTR_10min)</f>
        <v>99.999788249999995</v>
      </c>
      <c r="J19" s="55">
        <f>1-I19/100</f>
        <v>2.1175000000095423E-6</v>
      </c>
      <c r="K19" s="54">
        <f>J19*hours_per_year</f>
        <v>1.8549300000083591E-2</v>
      </c>
      <c r="L19" s="71">
        <f>J19*min_per_year</f>
        <v>1.1129580000050154</v>
      </c>
      <c r="M19" s="232">
        <f>J19*secs_per_year</f>
        <v>66.777480000300926</v>
      </c>
      <c r="O19"/>
      <c r="P19"/>
      <c r="Q19"/>
      <c r="R19"/>
      <c r="S19"/>
    </row>
    <row r="20" spans="3:19" ht="12.75" customHeight="1">
      <c r="C20" s="220" t="s">
        <v>183</v>
      </c>
      <c r="D20" s="221">
        <f t="shared" si="2"/>
        <v>12705</v>
      </c>
      <c r="E20" s="205">
        <f>1/(nano*D20)</f>
        <v>78709.169618260523</v>
      </c>
      <c r="F20" s="205">
        <f>1/(hours_per_year*nano*D20)</f>
        <v>8.9850650249155848</v>
      </c>
      <c r="G20" s="206">
        <f>100*(1-EXP(-1/F20))</f>
        <v>10.532593480424811</v>
      </c>
      <c r="H20" s="206" t="s">
        <v>124</v>
      </c>
      <c r="I20" s="207">
        <f>100*(1-D20*nano*MTTR_1h)</f>
        <v>99.99872950000001</v>
      </c>
      <c r="J20" s="208">
        <f>1-I20/100</f>
        <v>1.2704999999946232E-5</v>
      </c>
      <c r="K20" s="209">
        <f>J20*hours_per_year</f>
        <v>0.11129579999952899</v>
      </c>
      <c r="L20" s="210">
        <f>J20*min_per_year</f>
        <v>6.6777479999717393</v>
      </c>
      <c r="M20" s="233">
        <f>J20*secs_per_year</f>
        <v>400.66487999830434</v>
      </c>
    </row>
    <row r="21" spans="3:19" ht="14.25" customHeight="1">
      <c r="C21" s="204" t="s">
        <v>121</v>
      </c>
      <c r="D21" s="184"/>
      <c r="E21" s="185"/>
      <c r="F21" s="185"/>
      <c r="G21" s="186"/>
      <c r="H21" s="186"/>
      <c r="I21" s="108"/>
      <c r="J21" s="187"/>
      <c r="K21" s="188"/>
      <c r="L21" s="189"/>
      <c r="M21" s="190"/>
      <c r="N21" s="49" t="s">
        <v>184</v>
      </c>
      <c r="O21"/>
      <c r="P21"/>
      <c r="Q21"/>
    </row>
    <row r="22" spans="3:19" ht="12.75" customHeight="1">
      <c r="C22" s="79" t="s">
        <v>185</v>
      </c>
      <c r="D22" s="101">
        <f>(1/E22)/nano</f>
        <v>177871.05457963233</v>
      </c>
      <c r="E22" s="57">
        <f>I22*MTTR_2min/(1-I22)</f>
        <v>5622.0502113923376</v>
      </c>
      <c r="F22" s="57">
        <f>E22/hours_per_year</f>
        <v>0.64178655381191063</v>
      </c>
      <c r="G22" s="56">
        <f>100*(1-EXP(-1/F22))</f>
        <v>78.947490948507223</v>
      </c>
      <c r="H22" s="56" t="s">
        <v>134</v>
      </c>
      <c r="I22" s="109">
        <f>1-J22</f>
        <v>0.9999940710000006</v>
      </c>
      <c r="J22" s="55">
        <f>M22/secs_per_year</f>
        <v>5.9289999994049936E-6</v>
      </c>
      <c r="K22" s="54">
        <f>J22*hours_per_year</f>
        <v>5.1938039994787744E-2</v>
      </c>
      <c r="L22" s="71">
        <f>J22*min_per_year</f>
        <v>3.1162823996872646</v>
      </c>
      <c r="M22" s="232">
        <f>M17*14</f>
        <v>186.97694398123588</v>
      </c>
      <c r="N22"/>
      <c r="O22"/>
      <c r="P22"/>
    </row>
    <row r="23" spans="3:19" ht="12.75" customHeight="1">
      <c r="C23" s="79" t="s">
        <v>186</v>
      </c>
      <c r="D23" s="101">
        <f>(1/E23)/nano</f>
        <v>177872.63651795633</v>
      </c>
      <c r="E23" s="57">
        <f>I23*MTTR_5min/(1-I23)</f>
        <v>5622.0002108027975</v>
      </c>
      <c r="F23" s="57">
        <f>E23/hours_per_year</f>
        <v>0.64178084598205454</v>
      </c>
      <c r="G23" s="56">
        <f t="shared" ref="G23:G25" si="3">100*(1-EXP(-1/F23))</f>
        <v>78.947782687518739</v>
      </c>
      <c r="H23" s="56" t="s">
        <v>136</v>
      </c>
      <c r="I23" s="109">
        <f t="shared" ref="I23:I25" si="4">1-J23</f>
        <v>0.99998517749999993</v>
      </c>
      <c r="J23" s="55">
        <f>M23/secs_per_year</f>
        <v>1.4822500000066798E-5</v>
      </c>
      <c r="K23" s="54">
        <f>J23*hours_per_year</f>
        <v>0.12984510000058516</v>
      </c>
      <c r="L23" s="71">
        <f>J23*min_per_year</f>
        <v>7.7907060000351089</v>
      </c>
      <c r="M23" s="232">
        <f>M18*14</f>
        <v>467.44236000210651</v>
      </c>
      <c r="N23"/>
      <c r="O23"/>
      <c r="P23"/>
    </row>
    <row r="24" spans="3:19" ht="12.75" customHeight="1">
      <c r="C24" s="79" t="s">
        <v>187</v>
      </c>
      <c r="D24" s="101">
        <f>(1/E24)/nano</f>
        <v>177875.27311327303</v>
      </c>
      <c r="E24" s="57">
        <f>I24*MTTR_10min/(1-I24)</f>
        <v>5621.9168774694635</v>
      </c>
      <c r="F24" s="57">
        <f>E24/hours_per_year</f>
        <v>0.64177133304445932</v>
      </c>
      <c r="G24" s="56">
        <f t="shared" si="3"/>
        <v>78.948268916019131</v>
      </c>
      <c r="H24" s="56" t="s">
        <v>138</v>
      </c>
      <c r="I24" s="109">
        <f t="shared" si="4"/>
        <v>0.99997035499999987</v>
      </c>
      <c r="J24" s="55">
        <f>M24/secs_per_year</f>
        <v>2.9645000000133596E-5</v>
      </c>
      <c r="K24" s="54">
        <f>J24*hours_per_year</f>
        <v>0.25969020000117032</v>
      </c>
      <c r="L24" s="71">
        <f>J24*min_per_year</f>
        <v>15.581412000070218</v>
      </c>
      <c r="M24" s="232">
        <f>M19*14</f>
        <v>934.88472000421302</v>
      </c>
      <c r="N24"/>
      <c r="O24"/>
      <c r="P24"/>
    </row>
    <row r="25" spans="3:19" ht="12.75" customHeight="1">
      <c r="C25" s="79" t="s">
        <v>188</v>
      </c>
      <c r="D25" s="101">
        <f>(1/E25)/nano</f>
        <v>177901.64336455235</v>
      </c>
      <c r="E25" s="57">
        <f>I25*MTTR_1h/(1-I25)</f>
        <v>5621.0835441852596</v>
      </c>
      <c r="F25" s="57">
        <f>E25/hours_per_year</f>
        <v>0.64167620367411637</v>
      </c>
      <c r="G25" s="56">
        <f t="shared" si="3"/>
        <v>78.953131375856827</v>
      </c>
      <c r="H25" s="56" t="s">
        <v>124</v>
      </c>
      <c r="I25" s="109">
        <f t="shared" si="4"/>
        <v>0.99982213000000075</v>
      </c>
      <c r="J25" s="55">
        <f>M25/secs_per_year</f>
        <v>1.7786999999924721E-4</v>
      </c>
      <c r="K25" s="54">
        <f>J25*hours_per_year</f>
        <v>1.5581411999934056</v>
      </c>
      <c r="L25" s="71">
        <f>J25*min_per_year</f>
        <v>93.488471999604329</v>
      </c>
      <c r="M25" s="232">
        <f>M20*14</f>
        <v>5609.3083199762605</v>
      </c>
      <c r="N25"/>
      <c r="O25"/>
      <c r="P25"/>
    </row>
    <row r="26" spans="3:19" ht="12.75" customHeight="1">
      <c r="C26" s="79"/>
      <c r="D26" s="101"/>
      <c r="E26" s="57"/>
      <c r="F26" s="57"/>
      <c r="G26" s="56"/>
      <c r="H26" s="56"/>
      <c r="I26" s="109"/>
      <c r="J26" s="55"/>
      <c r="K26" s="54"/>
      <c r="L26" s="71"/>
      <c r="M26" s="215"/>
    </row>
    <row r="27" spans="3:19" ht="12.75" customHeight="1" thickBot="1">
      <c r="C27" s="193" t="s">
        <v>145</v>
      </c>
      <c r="D27" s="212">
        <f>D9+Network+D13</f>
        <v>12710.930232064</v>
      </c>
      <c r="E27" s="195"/>
      <c r="F27" s="195"/>
      <c r="G27" s="196"/>
      <c r="H27" s="196"/>
      <c r="I27" s="197"/>
      <c r="J27" s="198"/>
      <c r="K27" s="199"/>
      <c r="L27" s="200"/>
      <c r="M27" s="222"/>
    </row>
    <row r="28" spans="3:19" ht="13.8" thickBot="1">
      <c r="I28" s="114"/>
    </row>
    <row r="29" spans="3:19" ht="12.75" customHeight="1">
      <c r="C29" s="73" t="s">
        <v>90</v>
      </c>
      <c r="D29" s="76"/>
      <c r="E29" s="76"/>
      <c r="F29" s="76"/>
      <c r="G29" s="76"/>
      <c r="H29" s="76"/>
      <c r="I29" s="115"/>
      <c r="J29" s="76"/>
      <c r="K29" s="76"/>
      <c r="L29" s="76"/>
      <c r="M29" s="77"/>
    </row>
    <row r="30" spans="3:19" ht="12.75" customHeight="1">
      <c r="C30" s="89" t="s">
        <v>176</v>
      </c>
      <c r="D30" s="97">
        <f>D31+D32</f>
        <v>1270.5</v>
      </c>
      <c r="E30" s="61">
        <f>1/(nano*D30)</f>
        <v>787091.69618260523</v>
      </c>
      <c r="F30" s="61">
        <f>1/(hours_per_year*nano*D30)</f>
        <v>89.850650249155834</v>
      </c>
      <c r="G30" s="60">
        <f>100*(1-EXP(-1/F30))</f>
        <v>1.1067875352269718</v>
      </c>
      <c r="H30" s="60" t="s">
        <v>124</v>
      </c>
      <c r="I30" s="111">
        <f>100*(1-D30*nano*MTTR_1h)</f>
        <v>99.999872949999997</v>
      </c>
      <c r="J30" s="59">
        <f>1-I30/100</f>
        <v>1.2704999999835209E-6</v>
      </c>
      <c r="K30" s="69">
        <f>J30*hours_per_year</f>
        <v>1.1129579999855643E-2</v>
      </c>
      <c r="L30" s="72">
        <f>J30*min_per_year</f>
        <v>0.6677747999913386</v>
      </c>
      <c r="M30" s="78">
        <f>J30*secs_per_year</f>
        <v>40.066487999480316</v>
      </c>
    </row>
    <row r="31" spans="3:19" ht="12.75" customHeight="1">
      <c r="C31" s="88" t="s">
        <v>189</v>
      </c>
      <c r="D31" s="98">
        <f>1*Control_Slave+1*Server_Slave+1*Data_Slave</f>
        <v>635.25</v>
      </c>
      <c r="E31" s="61">
        <f>1/(nano*D31)</f>
        <v>1574183.3923652105</v>
      </c>
      <c r="F31" s="61">
        <f>1/(hours_per_year*nano*D31)</f>
        <v>179.70130049831167</v>
      </c>
      <c r="G31" s="60">
        <f>100*(1-EXP(-1/F31))</f>
        <v>0.55493352369206939</v>
      </c>
      <c r="H31" s="60" t="s">
        <v>124</v>
      </c>
      <c r="I31" s="111">
        <f>100*(1-D31*nano*MTTR_1h)</f>
        <v>99.999936474999998</v>
      </c>
      <c r="J31" s="59">
        <f>1-I31/100</f>
        <v>6.3525000004727161E-7</v>
      </c>
      <c r="K31" s="69">
        <f>J31*hours_per_year</f>
        <v>5.5647900004140993E-3</v>
      </c>
      <c r="L31" s="72">
        <f>J31*min_per_year</f>
        <v>0.33388740002484596</v>
      </c>
      <c r="M31" s="78">
        <f>J31*secs_per_year</f>
        <v>20.033244001490758</v>
      </c>
    </row>
    <row r="32" spans="3:19" ht="12.75" customHeight="1">
      <c r="C32" s="90" t="s">
        <v>178</v>
      </c>
      <c r="D32" s="99">
        <f>1*Control_Slave+1*Server_Slave+1*Data_Slave</f>
        <v>635.25</v>
      </c>
      <c r="E32" s="81">
        <f>1/(nano*D32)</f>
        <v>1574183.3923652105</v>
      </c>
      <c r="F32" s="81">
        <f>1/(hours_per_year*nano*D32)</f>
        <v>179.70130049831167</v>
      </c>
      <c r="G32" s="82">
        <f t="shared" ref="G32" si="5">100*(1-EXP(-1/F32))</f>
        <v>0.55493352369206939</v>
      </c>
      <c r="H32" s="82" t="s">
        <v>124</v>
      </c>
      <c r="I32" s="112">
        <f>100*(1-D32*nano*MTTR_1h)</f>
        <v>99.999936474999998</v>
      </c>
      <c r="J32" s="83">
        <f t="shared" ref="J32" si="6">1-I32/100</f>
        <v>6.3525000004727161E-7</v>
      </c>
      <c r="K32" s="84">
        <f>J32*hours_per_year</f>
        <v>5.5647900004140993E-3</v>
      </c>
      <c r="L32" s="85">
        <f>J32*min_per_year</f>
        <v>0.33388740002484596</v>
      </c>
      <c r="M32" s="86">
        <f>J32*secs_per_year</f>
        <v>20.033244001490758</v>
      </c>
    </row>
    <row r="33" spans="3:13" ht="12.75" customHeight="1">
      <c r="C33" s="89"/>
      <c r="D33" s="98"/>
      <c r="E33" s="61"/>
      <c r="F33" s="61"/>
      <c r="G33" s="60"/>
      <c r="H33" s="60"/>
      <c r="I33" s="111"/>
      <c r="J33" s="59"/>
      <c r="K33" s="69"/>
      <c r="L33" s="72"/>
      <c r="M33" s="78"/>
    </row>
    <row r="34" spans="3:13" ht="12.75" customHeight="1">
      <c r="C34" s="89" t="s">
        <v>130</v>
      </c>
      <c r="D34" s="98">
        <f>3*Switch_hot</f>
        <v>4.4476740479999997</v>
      </c>
      <c r="E34" s="61">
        <f>1/(nano*D34)</f>
        <v>224836620.04181114</v>
      </c>
      <c r="F34" s="61">
        <f>1/(hours_per_year*nano*D34)</f>
        <v>25666.280826690767</v>
      </c>
      <c r="G34" s="60">
        <f>100*(1-EXP(-1/F34))</f>
        <v>3.8960865666237687E-3</v>
      </c>
      <c r="H34" s="60" t="s">
        <v>131</v>
      </c>
      <c r="I34" s="111">
        <f>100*(1-D34*nano*MTTR_8h)</f>
        <v>99.999996441860759</v>
      </c>
      <c r="J34" s="59">
        <f>1-I34/100</f>
        <v>3.5581392388017719E-8</v>
      </c>
      <c r="K34" s="58">
        <f>J34*hours_per_year</f>
        <v>3.1169299731903521E-4</v>
      </c>
      <c r="L34" s="72">
        <f>J34*min_per_year</f>
        <v>1.8701579839142113E-2</v>
      </c>
      <c r="M34" s="78">
        <f>J34*secs_per_year</f>
        <v>1.1220947903485268</v>
      </c>
    </row>
    <row r="35" spans="3:13" ht="12.75" customHeight="1">
      <c r="C35" s="89" t="s">
        <v>132</v>
      </c>
      <c r="D35" s="98">
        <f>Switch_hot</f>
        <v>1.482558016</v>
      </c>
      <c r="E35" s="61">
        <f>1/(nano*D35)</f>
        <v>674509860.12543333</v>
      </c>
      <c r="F35" s="61">
        <f>1/(hours_per_year*nano*D35)</f>
        <v>76998.842480072301</v>
      </c>
      <c r="G35" s="60">
        <f>100*(1-EXP(-1/F35))</f>
        <v>1.2987123886754048E-3</v>
      </c>
      <c r="H35" s="60" t="s">
        <v>131</v>
      </c>
      <c r="I35" s="111">
        <f>100*(1-D35*nano*MTTR_8h)</f>
        <v>99.999998813953582</v>
      </c>
      <c r="J35" s="59">
        <f>1-I35/100</f>
        <v>1.1860464166346674E-8</v>
      </c>
      <c r="K35" s="58">
        <f>J35*hours_per_year</f>
        <v>1.0389766609719686E-4</v>
      </c>
      <c r="L35" s="72">
        <f>J35*min_per_year</f>
        <v>6.2338599658318117E-3</v>
      </c>
      <c r="M35" s="78">
        <f>J35*secs_per_year</f>
        <v>0.3740315979499087</v>
      </c>
    </row>
    <row r="36" spans="3:13" ht="4.5" customHeight="1">
      <c r="C36" s="90"/>
      <c r="D36" s="100"/>
      <c r="E36" s="81"/>
      <c r="F36" s="81"/>
      <c r="G36" s="82"/>
      <c r="H36" s="82"/>
      <c r="I36" s="113"/>
      <c r="J36" s="83"/>
      <c r="K36" s="94"/>
      <c r="L36" s="95"/>
      <c r="M36" s="96"/>
    </row>
    <row r="37" spans="3:13" ht="12.75" customHeight="1">
      <c r="C37" s="204" t="s">
        <v>120</v>
      </c>
      <c r="D37" s="184"/>
      <c r="E37" s="185"/>
      <c r="F37" s="185"/>
      <c r="G37" s="186"/>
      <c r="H37" s="186"/>
      <c r="I37" s="108"/>
      <c r="J37" s="187"/>
      <c r="K37" s="188"/>
      <c r="L37" s="189"/>
      <c r="M37" s="190"/>
    </row>
    <row r="38" spans="3:13" ht="12.75" customHeight="1">
      <c r="C38" s="79" t="s">
        <v>179</v>
      </c>
      <c r="D38" s="101">
        <f>$D$31</f>
        <v>635.25</v>
      </c>
      <c r="E38" s="57">
        <f>1/(nano*D38)</f>
        <v>1574183.3923652105</v>
      </c>
      <c r="F38" s="57">
        <f>1/(hours_per_year*nano*D38)</f>
        <v>179.70130049831167</v>
      </c>
      <c r="G38" s="56">
        <f>100*(1-EXP(-1/F38))</f>
        <v>0.55493352369206939</v>
      </c>
      <c r="H38" s="56" t="s">
        <v>134</v>
      </c>
      <c r="I38" s="182">
        <f>100*(1-D38*nano*MTTR_1min)</f>
        <v>99.999998941249999</v>
      </c>
      <c r="J38" s="55">
        <f>1-I38/100</f>
        <v>1.0587499987835258E-8</v>
      </c>
      <c r="K38" s="54">
        <f>J38*hours_per_year</f>
        <v>9.2746499893436862E-5</v>
      </c>
      <c r="L38" s="71">
        <f>J38*min_per_year</f>
        <v>5.5647899936062117E-3</v>
      </c>
      <c r="M38" s="191">
        <f>J38*secs_per_year</f>
        <v>0.3338873996163727</v>
      </c>
    </row>
    <row r="39" spans="3:13" ht="12.75" customHeight="1">
      <c r="C39" s="79" t="s">
        <v>181</v>
      </c>
      <c r="D39" s="101">
        <f t="shared" ref="D39:D41" si="7">$D$31</f>
        <v>635.25</v>
      </c>
      <c r="E39" s="57">
        <f>1/(nano*D39)</f>
        <v>1574183.3923652105</v>
      </c>
      <c r="F39" s="57">
        <f>1/(hours_per_year*nano*D39)</f>
        <v>179.70130049831167</v>
      </c>
      <c r="G39" s="56">
        <f>100*(1-EXP(-1/F39))</f>
        <v>0.55493352369206939</v>
      </c>
      <c r="H39" s="56" t="s">
        <v>136</v>
      </c>
      <c r="I39" s="182">
        <f>100*(1-D39*nano*MTTR_2min)</f>
        <v>99.999997882499997</v>
      </c>
      <c r="J39" s="55">
        <f>1-I39/100</f>
        <v>2.1174999975670517E-8</v>
      </c>
      <c r="K39" s="54">
        <f>J39*hours_per_year</f>
        <v>1.8549299978687372E-4</v>
      </c>
      <c r="L39" s="71">
        <f>J39*min_per_year</f>
        <v>1.1129579987212423E-2</v>
      </c>
      <c r="M39" s="191">
        <f>J39*secs_per_year</f>
        <v>0.66777479923274541</v>
      </c>
    </row>
    <row r="40" spans="3:13" ht="11.25" customHeight="1">
      <c r="C40" s="79" t="s">
        <v>182</v>
      </c>
      <c r="D40" s="101">
        <f t="shared" si="7"/>
        <v>635.25</v>
      </c>
      <c r="E40" s="57">
        <f>1/(nano*D40)</f>
        <v>1574183.3923652105</v>
      </c>
      <c r="F40" s="57">
        <f>1/(hours_per_year*nano*D40)</f>
        <v>179.70130049831167</v>
      </c>
      <c r="G40" s="56">
        <f>100*(1-EXP(-1/F40))</f>
        <v>0.55493352369206939</v>
      </c>
      <c r="H40" s="56" t="s">
        <v>138</v>
      </c>
      <c r="I40" s="182">
        <f>100*(1-D40*nano*MTTR_3min)</f>
        <v>99.99999682375001</v>
      </c>
      <c r="J40" s="55">
        <f>1-I40/100</f>
        <v>3.1762499852483472E-8</v>
      </c>
      <c r="K40" s="54">
        <f>J40*hours_per_year</f>
        <v>2.7823949870775522E-4</v>
      </c>
      <c r="L40" s="71">
        <f>J40*min_per_year</f>
        <v>1.6694369922465313E-2</v>
      </c>
      <c r="M40" s="191">
        <f>J40*secs_per_year</f>
        <v>1.0016621953479188</v>
      </c>
    </row>
    <row r="41" spans="3:13" ht="14.25" customHeight="1">
      <c r="C41" s="220" t="s">
        <v>183</v>
      </c>
      <c r="D41" s="221">
        <f t="shared" si="7"/>
        <v>635.25</v>
      </c>
      <c r="E41" s="205">
        <f>1/(nano*D41)</f>
        <v>1574183.3923652105</v>
      </c>
      <c r="F41" s="205">
        <f>1/(hours_per_year*nano*D41)</f>
        <v>179.70130049831167</v>
      </c>
      <c r="G41" s="206">
        <f>100*(1-EXP(-1/F41))</f>
        <v>0.55493352369206939</v>
      </c>
      <c r="H41" s="206" t="s">
        <v>124</v>
      </c>
      <c r="I41" s="207">
        <f>100*(1-D41*nano*MTTR_1h)</f>
        <v>99.999936474999998</v>
      </c>
      <c r="J41" s="208">
        <f>1-I41/100</f>
        <v>6.3525000004727161E-7</v>
      </c>
      <c r="K41" s="209">
        <f>J41*hours_per_year</f>
        <v>5.5647900004140993E-3</v>
      </c>
      <c r="L41" s="210">
        <f>J41*min_per_year</f>
        <v>0.33388740002484596</v>
      </c>
      <c r="M41" s="211">
        <f>J41*secs_per_year</f>
        <v>20.033244001490758</v>
      </c>
    </row>
    <row r="42" spans="3:13" ht="14.25" customHeight="1">
      <c r="C42" s="204" t="s">
        <v>121</v>
      </c>
      <c r="D42" s="184"/>
      <c r="E42" s="185"/>
      <c r="F42" s="185"/>
      <c r="G42" s="186"/>
      <c r="H42" s="186"/>
      <c r="I42" s="108"/>
      <c r="J42" s="187"/>
      <c r="K42" s="188"/>
      <c r="L42" s="189"/>
      <c r="M42" s="190"/>
    </row>
    <row r="43" spans="3:13" ht="11.25" customHeight="1">
      <c r="C43" s="79" t="s">
        <v>185</v>
      </c>
      <c r="D43" s="101">
        <f>(1/E43)/nano</f>
        <v>4446.7506540104223</v>
      </c>
      <c r="E43" s="57">
        <f>I43*MTTR_2min/(1-I43)</f>
        <v>224883.30869151</v>
      </c>
      <c r="F43" s="57">
        <f>E43/hours_per_year</f>
        <v>25.671610581222602</v>
      </c>
      <c r="G43" s="56">
        <f>100*(1-EXP(-1/F43))</f>
        <v>3.820460276998372</v>
      </c>
      <c r="H43" s="56" t="s">
        <v>134</v>
      </c>
      <c r="I43" s="109">
        <f>1-J43</f>
        <v>0.99999985177500017</v>
      </c>
      <c r="J43" s="55">
        <f>M43/secs_per_year</f>
        <v>1.4822499982969362E-7</v>
      </c>
      <c r="K43" s="54">
        <f>J43*hours_per_year</f>
        <v>1.2984509985081161E-3</v>
      </c>
      <c r="L43" s="71">
        <f>J43*min_per_year</f>
        <v>7.7907059910486964E-2</v>
      </c>
      <c r="M43" s="191">
        <f>M38*14</f>
        <v>4.6744235946292179</v>
      </c>
    </row>
    <row r="44" spans="3:13" ht="11.25" customHeight="1">
      <c r="C44" s="79" t="s">
        <v>186</v>
      </c>
      <c r="D44" s="101">
        <f>(1/E44)/nano</f>
        <v>3557.401050504187</v>
      </c>
      <c r="E44" s="57">
        <f>I44*MTTR_5min/(1-I44)</f>
        <v>281104.09419772081</v>
      </c>
      <c r="F44" s="57">
        <f>E44/hours_per_year</f>
        <v>32.089508470059457</v>
      </c>
      <c r="G44" s="56">
        <f t="shared" ref="G44:G46" si="8">100*(1-EXP(-1/F44))</f>
        <v>3.068227688424674</v>
      </c>
      <c r="H44" s="56" t="s">
        <v>136</v>
      </c>
      <c r="I44" s="109">
        <f t="shared" ref="I44:I46" si="9">1-J44</f>
        <v>0.99999970355000034</v>
      </c>
      <c r="J44" s="55">
        <f>M44/secs_per_year</f>
        <v>2.9644999965938723E-7</v>
      </c>
      <c r="K44" s="54">
        <f>J44*hours_per_year</f>
        <v>2.5969019970162321E-3</v>
      </c>
      <c r="L44" s="71">
        <f>J44*min_per_year</f>
        <v>0.15581411982097393</v>
      </c>
      <c r="M44" s="191">
        <f>M39*14</f>
        <v>9.3488471892584357</v>
      </c>
    </row>
    <row r="45" spans="3:13" ht="12.75" customHeight="1">
      <c r="C45" s="79" t="s">
        <v>187</v>
      </c>
      <c r="D45" s="101">
        <f>(1/E45)/nano</f>
        <v>2668.0511740242623</v>
      </c>
      <c r="E45" s="57">
        <f>I45*MTTR_10min/(1-I45)</f>
        <v>374805.40468483022</v>
      </c>
      <c r="F45" s="57">
        <f>E45/hours_per_year</f>
        <v>42.786005101008016</v>
      </c>
      <c r="G45" s="56">
        <f t="shared" si="8"/>
        <v>2.310111558127137</v>
      </c>
      <c r="H45" s="56" t="s">
        <v>138</v>
      </c>
      <c r="I45" s="109">
        <f t="shared" si="9"/>
        <v>0.99999955532500207</v>
      </c>
      <c r="J45" s="55">
        <f>M45/secs_per_year</f>
        <v>4.4467499793476861E-7</v>
      </c>
      <c r="K45" s="54">
        <f>J45*hours_per_year</f>
        <v>3.895352981908573E-3</v>
      </c>
      <c r="L45" s="71">
        <f>J45*min_per_year</f>
        <v>0.23372117891451438</v>
      </c>
      <c r="M45" s="191">
        <f>M40*14</f>
        <v>14.023270734870863</v>
      </c>
    </row>
    <row r="46" spans="3:13" ht="12.75" customHeight="1">
      <c r="C46" s="79" t="s">
        <v>188</v>
      </c>
      <c r="D46" s="101">
        <f>(1/E46)/nano</f>
        <v>8893.5790957074951</v>
      </c>
      <c r="E46" s="57">
        <f>I46*MTTR_1h/(1-I46)</f>
        <v>112440.67087486207</v>
      </c>
      <c r="F46" s="57">
        <f>E46/hours_per_year</f>
        <v>12.835693022244529</v>
      </c>
      <c r="G46" s="56">
        <f t="shared" si="8"/>
        <v>7.4950244214899602</v>
      </c>
      <c r="H46" s="56" t="s">
        <v>124</v>
      </c>
      <c r="I46" s="109">
        <f t="shared" si="9"/>
        <v>0.99999110649999934</v>
      </c>
      <c r="J46" s="55">
        <f>M46/secs_per_year</f>
        <v>8.8935000006618043E-6</v>
      </c>
      <c r="K46" s="54">
        <f>J46*hours_per_year</f>
        <v>7.7907060005797404E-2</v>
      </c>
      <c r="L46" s="71">
        <f>J46*min_per_year</f>
        <v>4.6744236003478443</v>
      </c>
      <c r="M46" s="215">
        <f>M41*14</f>
        <v>280.46541602087063</v>
      </c>
    </row>
    <row r="47" spans="3:13" ht="12.75" customHeight="1">
      <c r="C47" s="79"/>
      <c r="D47" s="101"/>
      <c r="E47" s="57"/>
      <c r="F47" s="57"/>
      <c r="G47" s="56"/>
      <c r="H47" s="56"/>
      <c r="I47" s="109"/>
      <c r="J47" s="55"/>
      <c r="K47" s="54"/>
      <c r="L47" s="71"/>
      <c r="M47" s="215"/>
    </row>
    <row r="48" spans="3:13" ht="12.75" customHeight="1" thickBot="1">
      <c r="C48" s="193" t="s">
        <v>155</v>
      </c>
      <c r="D48" s="212">
        <f>D31+D34+D35</f>
        <v>641.18023206399994</v>
      </c>
      <c r="E48" s="195"/>
      <c r="F48" s="195"/>
      <c r="G48" s="196"/>
      <c r="H48" s="196"/>
      <c r="I48" s="197"/>
      <c r="J48" s="198"/>
      <c r="K48" s="199"/>
      <c r="L48" s="200"/>
      <c r="M48" s="222"/>
    </row>
    <row r="49" spans="2:15" ht="13.8" thickBot="1">
      <c r="B49"/>
    </row>
    <row r="50" spans="2:15" ht="12.75" customHeight="1">
      <c r="B50"/>
      <c r="C50" s="73" t="s">
        <v>156</v>
      </c>
      <c r="D50" s="76"/>
      <c r="E50" s="76"/>
      <c r="F50" s="76"/>
      <c r="G50" s="76"/>
      <c r="H50" s="76"/>
      <c r="I50" s="76"/>
      <c r="J50" s="76"/>
      <c r="K50" s="76"/>
      <c r="L50" s="76"/>
      <c r="M50" s="77"/>
    </row>
    <row r="51" spans="2:15" customFormat="1" ht="12.75" customHeight="1">
      <c r="C51" s="87" t="s">
        <v>157</v>
      </c>
      <c r="D51" s="192">
        <f>D27+D48</f>
        <v>13352.110464128</v>
      </c>
      <c r="E51" s="57">
        <f t="shared" ref="E51:E52" si="10">1/(nano*D51)</f>
        <v>74894.527175057185</v>
      </c>
      <c r="F51" s="57">
        <f t="shared" ref="F51:F52" si="11">1/(hours_per_year*nano*D51)</f>
        <v>8.5496035587964823</v>
      </c>
      <c r="G51" s="56">
        <f t="shared" ref="G51:G52" si="12">100*(1-EXP(-1/F51))</f>
        <v>11.038321502892911</v>
      </c>
      <c r="H51" s="56" t="s">
        <v>190</v>
      </c>
      <c r="I51" s="182">
        <f>100*(1-D51*nano*MTTR_3min)</f>
        <v>99.999933239447685</v>
      </c>
      <c r="J51" s="55">
        <f t="shared" ref="J51:J52" si="13">1-I51/100</f>
        <v>6.6760552319689026E-7</v>
      </c>
      <c r="K51" s="54">
        <f t="shared" ref="K51:K52" si="14">J51*hours_per_year</f>
        <v>5.8482243832047587E-3</v>
      </c>
      <c r="L51" s="71">
        <f t="shared" ref="L51:L52" si="15">J51*min_per_year</f>
        <v>0.35089346299228552</v>
      </c>
      <c r="M51" s="80">
        <f t="shared" ref="M51:M52" si="16">J51*secs_per_year</f>
        <v>21.053607779537131</v>
      </c>
      <c r="N51" s="49" t="s">
        <v>191</v>
      </c>
    </row>
    <row r="52" spans="2:15" customFormat="1" ht="12.75" customHeight="1">
      <c r="C52" s="226"/>
      <c r="D52" s="223">
        <f>D27+D48</f>
        <v>13352.110464128</v>
      </c>
      <c r="E52" s="205">
        <f t="shared" si="10"/>
        <v>74894.527175057185</v>
      </c>
      <c r="F52" s="205">
        <f t="shared" si="11"/>
        <v>8.5496035587964823</v>
      </c>
      <c r="G52" s="206">
        <f t="shared" si="12"/>
        <v>11.038321502892911</v>
      </c>
      <c r="H52" s="206" t="s">
        <v>136</v>
      </c>
      <c r="I52" s="207">
        <f>100*(1-D52*nano*MTTR_5min)</f>
        <v>99.999888732412799</v>
      </c>
      <c r="J52" s="208">
        <f t="shared" si="13"/>
        <v>1.1126758719948171E-6</v>
      </c>
      <c r="K52" s="209">
        <f t="shared" si="14"/>
        <v>9.7470406386745978E-3</v>
      </c>
      <c r="L52" s="210">
        <f t="shared" si="15"/>
        <v>0.58482243832047587</v>
      </c>
      <c r="M52" s="224">
        <f t="shared" si="16"/>
        <v>35.089346299228552</v>
      </c>
    </row>
    <row r="53" spans="2:15" customFormat="1" ht="12.75" customHeight="1">
      <c r="C53" s="87" t="s">
        <v>159</v>
      </c>
      <c r="D53" s="229">
        <f>(1/E53)/nano</f>
        <v>9346.5646822113285</v>
      </c>
      <c r="E53" s="57">
        <f>I53*MTTR_1h/(1-I53)</f>
        <v>106991.18168017719</v>
      </c>
      <c r="F53" s="57">
        <f>E53/hours_per_year</f>
        <v>12.2136052146321</v>
      </c>
      <c r="G53" s="192">
        <f>100*(1-EXP(-1/F53))</f>
        <v>7.8613710455165968</v>
      </c>
      <c r="H53" s="56" t="s">
        <v>190</v>
      </c>
      <c r="I53" s="182">
        <f>(1-J53)</f>
        <v>0.99999065352267524</v>
      </c>
      <c r="J53" s="55">
        <f>M53/secs_per_year</f>
        <v>9.3464773247564653E-6</v>
      </c>
      <c r="K53" s="54">
        <f>J53*hours_per_year</f>
        <v>8.1875141364866635E-2</v>
      </c>
      <c r="L53" s="71">
        <f>J53*min_per_year</f>
        <v>4.9125084818919982</v>
      </c>
      <c r="M53" s="80">
        <f>14*M51</f>
        <v>294.75050891351987</v>
      </c>
    </row>
    <row r="54" spans="2:15" ht="13.8" thickBot="1">
      <c r="B54"/>
      <c r="C54" s="93"/>
      <c r="D54" s="228">
        <f>(1/E54)/nano</f>
        <v>15577.704869036321</v>
      </c>
      <c r="E54" s="195">
        <f>I54*MTTR_1h/(1-I54)</f>
        <v>64194.309008106313</v>
      </c>
      <c r="F54" s="195">
        <f>E54/hours_per_year</f>
        <v>7.3281174666788029</v>
      </c>
      <c r="G54" s="213">
        <f>100*(1-EXP(-1/F54))</f>
        <v>12.755938883312057</v>
      </c>
      <c r="H54" s="196" t="s">
        <v>136</v>
      </c>
      <c r="I54" s="230">
        <f>(1-J54)</f>
        <v>0.99998442253779207</v>
      </c>
      <c r="J54" s="198">
        <f>M54/secs_per_year</f>
        <v>1.5577462207927439E-5</v>
      </c>
      <c r="K54" s="199">
        <f>J54*hours_per_year</f>
        <v>0.13645856894144437</v>
      </c>
      <c r="L54" s="200">
        <f>J54*min_per_year</f>
        <v>8.1875141364866622</v>
      </c>
      <c r="M54" s="201">
        <f>M52*14</f>
        <v>491.2508481891997</v>
      </c>
    </row>
    <row r="55" spans="2:15" customFormat="1"/>
    <row r="56" spans="2:15" customFormat="1"/>
    <row r="57" spans="2:15" customFormat="1"/>
    <row r="58" spans="2:15" customFormat="1"/>
    <row r="59" spans="2:15">
      <c r="C59"/>
      <c r="D59"/>
      <c r="E59"/>
      <c r="F59"/>
      <c r="G59"/>
      <c r="H59"/>
      <c r="I59"/>
      <c r="J59"/>
      <c r="K59"/>
      <c r="L59"/>
      <c r="M59"/>
      <c r="N59"/>
      <c r="O59"/>
    </row>
    <row r="60" spans="2:15">
      <c r="C60"/>
      <c r="D60"/>
      <c r="E60"/>
      <c r="F60"/>
      <c r="G60"/>
      <c r="H60"/>
      <c r="I60"/>
      <c r="J60"/>
      <c r="K60"/>
      <c r="L60"/>
      <c r="M60"/>
      <c r="N60"/>
      <c r="O60"/>
    </row>
    <row r="61" spans="2:15">
      <c r="C61"/>
      <c r="D61"/>
      <c r="E61"/>
      <c r="F61"/>
      <c r="G61"/>
      <c r="H61"/>
      <c r="I61"/>
      <c r="J61"/>
      <c r="K61"/>
      <c r="L61"/>
      <c r="M61"/>
      <c r="N61"/>
      <c r="O61"/>
    </row>
    <row r="62" spans="2:15">
      <c r="C62"/>
      <c r="D62"/>
      <c r="E62"/>
      <c r="F62"/>
      <c r="G62"/>
      <c r="H62"/>
      <c r="I62"/>
      <c r="J62"/>
      <c r="K62"/>
      <c r="L62"/>
      <c r="M62"/>
      <c r="N62"/>
      <c r="O62"/>
    </row>
    <row r="63" spans="2:15">
      <c r="C63"/>
      <c r="D63"/>
      <c r="E63"/>
      <c r="F63"/>
      <c r="G63"/>
      <c r="H63"/>
      <c r="I63"/>
      <c r="J63"/>
      <c r="K63"/>
      <c r="L63"/>
      <c r="M63"/>
      <c r="N63"/>
      <c r="O63"/>
    </row>
    <row r="64" spans="2:15">
      <c r="C64"/>
      <c r="D64"/>
      <c r="E64"/>
      <c r="F64"/>
      <c r="G64"/>
      <c r="H64"/>
      <c r="I64"/>
      <c r="J64"/>
      <c r="K64"/>
      <c r="L64"/>
      <c r="M64"/>
      <c r="N64"/>
      <c r="O64"/>
    </row>
    <row r="65" spans="3:15">
      <c r="C65"/>
      <c r="D65"/>
      <c r="E65"/>
      <c r="F65"/>
      <c r="G65"/>
      <c r="H65"/>
      <c r="I65"/>
      <c r="J65"/>
      <c r="K65"/>
      <c r="L65"/>
      <c r="M65"/>
      <c r="N65"/>
      <c r="O65"/>
    </row>
    <row r="66" spans="3:15">
      <c r="C66"/>
      <c r="D66"/>
      <c r="E66"/>
      <c r="F66"/>
      <c r="G66"/>
      <c r="H66"/>
      <c r="I66"/>
      <c r="J66"/>
      <c r="K66"/>
      <c r="L66"/>
      <c r="M66"/>
      <c r="N66"/>
      <c r="O66"/>
    </row>
    <row r="67" spans="3:15">
      <c r="C67"/>
      <c r="D67"/>
      <c r="E67"/>
      <c r="F67"/>
      <c r="G67"/>
      <c r="H67"/>
      <c r="I67"/>
      <c r="J67"/>
      <c r="K67"/>
      <c r="L67"/>
      <c r="M67"/>
      <c r="N67"/>
      <c r="O67"/>
    </row>
    <row r="68" spans="3:15">
      <c r="C68"/>
      <c r="D68"/>
      <c r="E68"/>
      <c r="F68"/>
      <c r="G68"/>
      <c r="H68"/>
      <c r="I68"/>
      <c r="J68"/>
      <c r="K68"/>
      <c r="L68"/>
      <c r="M68"/>
      <c r="N68"/>
      <c r="O68"/>
    </row>
    <row r="69" spans="3:15">
      <c r="C69"/>
      <c r="D69"/>
      <c r="E69"/>
      <c r="F69"/>
      <c r="G69"/>
      <c r="H69"/>
      <c r="I69"/>
      <c r="J69"/>
      <c r="K69"/>
      <c r="L69"/>
      <c r="M69"/>
      <c r="N69"/>
      <c r="O69"/>
    </row>
    <row r="70" spans="3:15">
      <c r="C70"/>
      <c r="D70"/>
      <c r="E70"/>
      <c r="F70"/>
      <c r="G70"/>
      <c r="H70"/>
      <c r="I70"/>
      <c r="J70"/>
      <c r="K70"/>
      <c r="L70"/>
      <c r="M70"/>
      <c r="N70"/>
      <c r="O70"/>
    </row>
    <row r="71" spans="3:15">
      <c r="C71"/>
      <c r="D71"/>
      <c r="E71"/>
      <c r="F71"/>
      <c r="G71"/>
      <c r="H71"/>
      <c r="I71"/>
      <c r="J71"/>
      <c r="K71"/>
      <c r="L71"/>
      <c r="M71"/>
      <c r="N71"/>
      <c r="O71"/>
    </row>
    <row r="72" spans="3:15">
      <c r="C72"/>
      <c r="D72"/>
      <c r="E72"/>
      <c r="F72"/>
      <c r="G72"/>
      <c r="H72"/>
      <c r="I72"/>
      <c r="J72"/>
      <c r="K72"/>
      <c r="L72"/>
      <c r="M72"/>
      <c r="N72"/>
      <c r="O72"/>
    </row>
    <row r="73" spans="3:15">
      <c r="C73"/>
      <c r="D73"/>
      <c r="E73"/>
      <c r="F73"/>
      <c r="G73"/>
      <c r="H73"/>
      <c r="I73"/>
      <c r="J73"/>
      <c r="K73"/>
      <c r="L73"/>
      <c r="M73"/>
      <c r="N73"/>
      <c r="O73"/>
    </row>
    <row r="74" spans="3:15">
      <c r="C74"/>
      <c r="D74"/>
      <c r="E74"/>
      <c r="F74"/>
      <c r="G74"/>
      <c r="H74"/>
      <c r="I74"/>
      <c r="J74"/>
      <c r="K74"/>
      <c r="L74"/>
      <c r="M74"/>
      <c r="N74"/>
      <c r="O74"/>
    </row>
    <row r="75" spans="3:15">
      <c r="C75"/>
      <c r="D75"/>
      <c r="E75"/>
      <c r="F75"/>
      <c r="G75"/>
      <c r="H75"/>
      <c r="I75"/>
      <c r="J75"/>
      <c r="K75"/>
      <c r="L75"/>
      <c r="M75"/>
      <c r="N75"/>
      <c r="O75"/>
    </row>
    <row r="76" spans="3:15">
      <c r="C76"/>
      <c r="D76"/>
      <c r="E76"/>
      <c r="F76"/>
      <c r="G76"/>
      <c r="H76"/>
      <c r="I76"/>
      <c r="J76"/>
      <c r="K76"/>
      <c r="L76"/>
      <c r="M76"/>
      <c r="N76"/>
      <c r="O76"/>
    </row>
    <row r="77" spans="3:15">
      <c r="C77"/>
      <c r="D77"/>
      <c r="E77"/>
      <c r="F77"/>
      <c r="G77"/>
      <c r="H77"/>
      <c r="I77"/>
      <c r="J77"/>
      <c r="K77"/>
      <c r="L77"/>
      <c r="M77"/>
      <c r="N77"/>
      <c r="O77"/>
    </row>
    <row r="78" spans="3:15">
      <c r="C78"/>
      <c r="D78"/>
      <c r="E78"/>
      <c r="F78"/>
      <c r="G78"/>
      <c r="H78"/>
      <c r="I78"/>
      <c r="J78"/>
      <c r="K78"/>
      <c r="L78"/>
      <c r="M78"/>
      <c r="N78"/>
      <c r="O78"/>
    </row>
    <row r="79" spans="3:15">
      <c r="C79"/>
      <c r="D79"/>
      <c r="E79"/>
      <c r="F79"/>
      <c r="G79"/>
      <c r="H79"/>
      <c r="I79"/>
      <c r="J79"/>
      <c r="K79"/>
      <c r="L79"/>
      <c r="M79"/>
      <c r="N79"/>
      <c r="O79"/>
    </row>
    <row r="80" spans="3:15">
      <c r="C80"/>
      <c r="D80"/>
      <c r="E80"/>
      <c r="F80"/>
      <c r="G80"/>
      <c r="H80"/>
      <c r="I80"/>
      <c r="J80"/>
      <c r="K80"/>
      <c r="L80"/>
      <c r="M80"/>
      <c r="N80"/>
      <c r="O80"/>
    </row>
    <row r="81" spans="1:15">
      <c r="C81"/>
      <c r="D81"/>
      <c r="E81"/>
      <c r="F81"/>
      <c r="G81"/>
      <c r="H81"/>
      <c r="I81"/>
      <c r="J81"/>
      <c r="K81"/>
      <c r="L81"/>
      <c r="M81"/>
      <c r="N81"/>
      <c r="O81"/>
    </row>
    <row r="82" spans="1:15">
      <c r="C82"/>
      <c r="D82"/>
      <c r="E82"/>
      <c r="F82"/>
      <c r="G82"/>
      <c r="H82"/>
      <c r="I82"/>
      <c r="J82"/>
      <c r="K82"/>
      <c r="L82"/>
      <c r="M82"/>
      <c r="N82"/>
      <c r="O82"/>
    </row>
    <row r="83" spans="1:15">
      <c r="C83"/>
      <c r="D83"/>
      <c r="E83"/>
      <c r="F83"/>
      <c r="G83"/>
      <c r="H83"/>
      <c r="I83"/>
      <c r="J83"/>
      <c r="K83"/>
      <c r="L83"/>
      <c r="M83"/>
      <c r="N83"/>
      <c r="O83"/>
    </row>
    <row r="84" spans="1:15">
      <c r="C84"/>
      <c r="D84"/>
      <c r="E84"/>
      <c r="F84"/>
      <c r="G84"/>
      <c r="H84"/>
      <c r="I84"/>
      <c r="J84"/>
      <c r="K84"/>
      <c r="L84"/>
      <c r="M84"/>
      <c r="N84"/>
      <c r="O84"/>
    </row>
    <row r="85" spans="1:15">
      <c r="A85"/>
      <c r="B85"/>
      <c r="C85"/>
      <c r="D85"/>
      <c r="E85"/>
      <c r="F85"/>
      <c r="G85"/>
      <c r="H85"/>
      <c r="I85"/>
      <c r="J85"/>
      <c r="K85"/>
      <c r="L85"/>
      <c r="M85"/>
    </row>
    <row r="86" spans="1:15">
      <c r="A86"/>
      <c r="B86"/>
      <c r="C86"/>
      <c r="D86"/>
      <c r="E86"/>
      <c r="F86"/>
      <c r="G86"/>
      <c r="H86"/>
      <c r="I86"/>
      <c r="J86"/>
      <c r="K86"/>
      <c r="L86"/>
      <c r="M86"/>
    </row>
    <row r="87" spans="1:15">
      <c r="A87"/>
      <c r="B87"/>
      <c r="C87"/>
      <c r="D87"/>
      <c r="E87"/>
      <c r="F87"/>
      <c r="G87"/>
      <c r="H87"/>
      <c r="I87"/>
      <c r="J87"/>
      <c r="K87"/>
      <c r="L87"/>
      <c r="M87"/>
    </row>
    <row r="88" spans="1:15">
      <c r="A88"/>
      <c r="B88"/>
      <c r="C88"/>
      <c r="D88"/>
      <c r="E88"/>
      <c r="F88"/>
      <c r="G88"/>
      <c r="H88"/>
      <c r="I88"/>
      <c r="J88"/>
      <c r="K88"/>
      <c r="L88"/>
      <c r="M88"/>
    </row>
    <row r="89" spans="1:15">
      <c r="A89"/>
      <c r="B89"/>
      <c r="C89"/>
      <c r="D89"/>
      <c r="E89"/>
      <c r="F89"/>
      <c r="G89"/>
      <c r="H89"/>
      <c r="I89"/>
      <c r="J89"/>
      <c r="K89"/>
      <c r="L89"/>
      <c r="M89"/>
    </row>
    <row r="90" spans="1:15">
      <c r="A90"/>
      <c r="B90"/>
      <c r="C90"/>
      <c r="D90"/>
      <c r="E90"/>
      <c r="F90"/>
      <c r="G90"/>
      <c r="H90"/>
    </row>
    <row r="91" spans="1:15">
      <c r="A91"/>
      <c r="B91"/>
      <c r="C91"/>
      <c r="D91"/>
      <c r="E91"/>
      <c r="F91"/>
      <c r="G91"/>
      <c r="H91"/>
    </row>
    <row r="92" spans="1:15">
      <c r="A92"/>
      <c r="B92"/>
      <c r="C92"/>
      <c r="D92"/>
      <c r="E92"/>
      <c r="F92"/>
      <c r="G92"/>
      <c r="H92"/>
    </row>
    <row r="93" spans="1:15">
      <c r="A93"/>
      <c r="B93"/>
      <c r="C93"/>
      <c r="D93"/>
      <c r="E93"/>
      <c r="F93"/>
      <c r="G93"/>
      <c r="H93"/>
    </row>
    <row r="94" spans="1:15">
      <c r="A94"/>
      <c r="B94"/>
      <c r="C94"/>
      <c r="D94"/>
      <c r="E94"/>
      <c r="F94"/>
      <c r="G94"/>
      <c r="H94"/>
    </row>
    <row r="95" spans="1:15">
      <c r="C95"/>
      <c r="D95"/>
      <c r="E95"/>
      <c r="F95"/>
      <c r="G95"/>
      <c r="H95"/>
    </row>
  </sheetData>
  <mergeCells count="7">
    <mergeCell ref="D4:G4"/>
    <mergeCell ref="H4:H6"/>
    <mergeCell ref="J4:M5"/>
    <mergeCell ref="C5:C6"/>
    <mergeCell ref="G5:G6"/>
    <mergeCell ref="I5:I6"/>
    <mergeCell ref="D6:F6"/>
  </mergeCells>
  <conditionalFormatting sqref="L16">
    <cfRule type="cellIs" dxfId="51" priority="62" operator="greaterThan">
      <formula>5.3</formula>
    </cfRule>
  </conditionalFormatting>
  <conditionalFormatting sqref="L17:L20">
    <cfRule type="cellIs" dxfId="50" priority="10" operator="greaterThan">
      <formula>26.3</formula>
    </cfRule>
  </conditionalFormatting>
  <conditionalFormatting sqref="L21:L27">
    <cfRule type="cellIs" dxfId="49" priority="11" operator="greaterThan">
      <formula>5.3</formula>
    </cfRule>
  </conditionalFormatting>
  <conditionalFormatting sqref="L37">
    <cfRule type="cellIs" dxfId="48" priority="52" operator="greaterThan">
      <formula>5.3</formula>
    </cfRule>
  </conditionalFormatting>
  <conditionalFormatting sqref="L38:L41">
    <cfRule type="cellIs" dxfId="47" priority="1" operator="greaterThan">
      <formula>26.3</formula>
    </cfRule>
  </conditionalFormatting>
  <conditionalFormatting sqref="L42:L48">
    <cfRule type="cellIs" dxfId="46" priority="2" operator="greaterThan">
      <formula>5.3</formula>
    </cfRule>
  </conditionalFormatting>
  <conditionalFormatting sqref="L53:L54">
    <cfRule type="cellIs" dxfId="45" priority="26" operator="greaterThan">
      <formula>26.3</formula>
    </cfRule>
  </conditionalFormatting>
  <printOptions horizontalCentered="1" verticalCentered="1"/>
  <pageMargins left="0.19685039370078741" right="0.19685039370078741" top="0.39370078740157483" bottom="0.39370078740157483" header="0.19685039370078741" footer="0.19685039370078741"/>
  <pageSetup paperSize="9" scale="50" orientation="landscape" r:id="rId1"/>
  <headerFooter alignWithMargins="0">
    <oddHeader>&amp;C&amp;G&amp;L&amp;"Arial Black"&amp;10&amp;K76923C&amp;1#</oddHeader>
    <oddFooter>&amp;L3BU 60003 0250 DUAPA, Ed.01&amp;C&amp;9©Ground Transportation Systems Austria GmbH&amp;R&amp;8 6/7
Template: 83530213-DOC-AUT-EN / 001</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84AA2-7948-466A-BC1B-2DEC3CE2D8E6}">
  <sheetPr>
    <tabColor theme="6" tint="-0.249977111117893"/>
  </sheetPr>
  <dimension ref="B4:G36"/>
  <sheetViews>
    <sheetView showGridLines="0" zoomScaleNormal="100" zoomScaleSheetLayoutView="100" zoomScalePageLayoutView="115" workbookViewId="0">
      <selection activeCell="D34" sqref="D34"/>
    </sheetView>
  </sheetViews>
  <sheetFormatPr defaultColWidth="11.44140625" defaultRowHeight="13.2"/>
  <cols>
    <col min="1" max="1" width="8.6640625" customWidth="1"/>
    <col min="2" max="2" width="16.33203125" customWidth="1"/>
    <col min="3" max="3" width="18" customWidth="1"/>
    <col min="4" max="4" width="16.33203125" customWidth="1"/>
    <col min="5" max="5" width="35.44140625" customWidth="1"/>
  </cols>
  <sheetData>
    <row r="4" spans="2:7">
      <c r="C4" s="49"/>
    </row>
    <row r="5" spans="2:7">
      <c r="B5" s="49" t="s">
        <v>192</v>
      </c>
      <c r="C5" s="49"/>
      <c r="F5" s="273" t="s">
        <v>193</v>
      </c>
    </row>
    <row r="6" spans="2:7">
      <c r="B6" s="49" t="s">
        <v>194</v>
      </c>
      <c r="C6" s="49"/>
    </row>
    <row r="7" spans="2:7">
      <c r="B7" s="49" t="s">
        <v>195</v>
      </c>
      <c r="C7" s="49"/>
    </row>
    <row r="8" spans="2:7">
      <c r="C8" s="49"/>
    </row>
    <row r="9" spans="2:7">
      <c r="B9" s="49" t="s">
        <v>196</v>
      </c>
      <c r="C9" s="49"/>
    </row>
    <row r="10" spans="2:7">
      <c r="C10" s="49"/>
    </row>
    <row r="11" spans="2:7" ht="12" customHeight="1">
      <c r="B11" s="49" t="s">
        <v>197</v>
      </c>
      <c r="C11" s="49" t="s">
        <v>198</v>
      </c>
    </row>
    <row r="12" spans="2:7">
      <c r="B12" s="278"/>
      <c r="C12" s="279" t="s">
        <v>199</v>
      </c>
      <c r="D12" s="278"/>
      <c r="E12" s="278"/>
      <c r="F12" s="278"/>
      <c r="G12" s="278"/>
    </row>
    <row r="14" spans="2:7">
      <c r="B14" s="49" t="s">
        <v>200</v>
      </c>
      <c r="C14" s="49" t="s">
        <v>201</v>
      </c>
    </row>
    <row r="15" spans="2:7">
      <c r="B15" s="278"/>
      <c r="C15" s="279" t="s">
        <v>202</v>
      </c>
      <c r="D15" s="278"/>
      <c r="E15" s="278"/>
      <c r="F15" s="278"/>
      <c r="G15" s="278"/>
    </row>
    <row r="17" spans="2:7">
      <c r="B17" s="49" t="s">
        <v>203</v>
      </c>
      <c r="C17" s="49" t="s">
        <v>204</v>
      </c>
    </row>
    <row r="18" spans="2:7">
      <c r="B18" s="278"/>
      <c r="C18" s="279" t="s">
        <v>205</v>
      </c>
      <c r="D18" s="278"/>
      <c r="E18" s="278"/>
      <c r="F18" s="278"/>
      <c r="G18" s="278"/>
    </row>
    <row r="20" spans="2:7">
      <c r="B20" s="49" t="s">
        <v>206</v>
      </c>
    </row>
    <row r="21" spans="2:7" ht="14.4">
      <c r="B21" s="277" t="s">
        <v>207</v>
      </c>
      <c r="C21" s="277" t="s">
        <v>65</v>
      </c>
      <c r="D21" s="277" t="s">
        <v>66</v>
      </c>
      <c r="E21" s="277" t="s">
        <v>208</v>
      </c>
    </row>
    <row r="22" spans="2:7">
      <c r="B22" s="274" t="s">
        <v>67</v>
      </c>
      <c r="C22" s="275">
        <v>99.998999999999995</v>
      </c>
      <c r="D22" s="66">
        <v>5.3</v>
      </c>
      <c r="E22" s="66" t="s">
        <v>741</v>
      </c>
    </row>
    <row r="23" spans="2:7">
      <c r="B23" s="274" t="s">
        <v>68</v>
      </c>
      <c r="C23" s="275">
        <v>99.995000000000005</v>
      </c>
      <c r="D23" s="66">
        <v>26.3</v>
      </c>
      <c r="E23" s="66" t="s">
        <v>742</v>
      </c>
    </row>
    <row r="24" spans="2:7">
      <c r="B24" s="274" t="s">
        <v>69</v>
      </c>
      <c r="C24" s="66">
        <v>99.99315</v>
      </c>
      <c r="D24" s="276">
        <v>36</v>
      </c>
      <c r="E24" s="276" t="s">
        <v>209</v>
      </c>
    </row>
    <row r="26" spans="2:7" ht="12.75" customHeight="1">
      <c r="B26" s="49" t="s">
        <v>210</v>
      </c>
    </row>
    <row r="27" spans="2:7">
      <c r="B27" s="49" t="s">
        <v>211</v>
      </c>
    </row>
    <row r="28" spans="2:7">
      <c r="B28" s="49" t="s">
        <v>212</v>
      </c>
    </row>
    <row r="30" spans="2:7" ht="12.75" customHeight="1">
      <c r="B30" s="49" t="s">
        <v>213</v>
      </c>
    </row>
    <row r="31" spans="2:7">
      <c r="B31" s="49" t="s">
        <v>214</v>
      </c>
    </row>
    <row r="32" spans="2:7">
      <c r="B32" s="49"/>
    </row>
    <row r="33" spans="2:7" ht="14.4">
      <c r="B33" s="280" t="s">
        <v>215</v>
      </c>
      <c r="C33" s="280" t="s">
        <v>216</v>
      </c>
      <c r="D33" s="280" t="s">
        <v>217</v>
      </c>
      <c r="E33" s="277" t="s">
        <v>91</v>
      </c>
      <c r="F33" s="277" t="s">
        <v>218</v>
      </c>
      <c r="G33" s="277" t="s">
        <v>218</v>
      </c>
    </row>
    <row r="34" spans="2:7" ht="12.75" customHeight="1">
      <c r="B34" s="274" t="s">
        <v>111</v>
      </c>
      <c r="C34" s="281">
        <v>7</v>
      </c>
      <c r="D34" s="281">
        <v>56</v>
      </c>
      <c r="E34" s="281">
        <v>28</v>
      </c>
      <c r="F34" s="281" t="s">
        <v>219</v>
      </c>
      <c r="G34" s="281" t="s">
        <v>219</v>
      </c>
    </row>
    <row r="35" spans="2:7">
      <c r="B35" s="274" t="s">
        <v>116</v>
      </c>
      <c r="C35" s="281">
        <v>9</v>
      </c>
      <c r="D35" s="281">
        <v>72</v>
      </c>
      <c r="E35" s="281">
        <v>27</v>
      </c>
      <c r="F35" s="281" t="s">
        <v>219</v>
      </c>
      <c r="G35" s="281" t="s">
        <v>219</v>
      </c>
    </row>
    <row r="36" spans="2:7">
      <c r="B36" s="274" t="s">
        <v>119</v>
      </c>
      <c r="C36" s="281">
        <v>14</v>
      </c>
      <c r="D36" s="281">
        <v>112</v>
      </c>
      <c r="E36" s="281">
        <v>28</v>
      </c>
      <c r="F36" s="281" t="s">
        <v>220</v>
      </c>
      <c r="G36" s="281" t="s">
        <v>219</v>
      </c>
    </row>
  </sheetData>
  <hyperlinks>
    <hyperlink ref="F5" r:id="rId1" display="DSTW-ZE" xr:uid="{6111D41D-7B5A-4F40-B460-36918260D175}"/>
  </hyperlinks>
  <printOptions horizontalCentered="1" verticalCentered="1"/>
  <pageMargins left="0.19685039370078741" right="0.19685039370078741" top="0.39370078740157483" bottom="0.39370078740157483" header="0.19685039370078741" footer="0.19685039370078741"/>
  <pageSetup paperSize="9" scale="89" orientation="landscape" r:id="rId2"/>
  <headerFooter alignWithMargins="0">
    <oddHeader>&amp;C&amp;G&amp;L&amp;"Arial Black"&amp;10&amp;K76923C&amp;1#</oddHeader>
    <oddFooter>&amp;L&amp;9TRN: xxxx-xxxxxxxxxx
ANV: 3BU XXXXX XXXX XXXXX&amp;C&amp;9©THALES All Rights Reserved &amp;R&amp;8&amp;P/&amp;N
Template: 83530213-DOC-AUT-EN / 002</oddFooter>
  </headerFooter>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EFDC-3843-4317-9FC5-104F620EF58F}">
  <sheetPr>
    <tabColor rgb="FFFFC000"/>
  </sheetPr>
  <dimension ref="A1:A4"/>
  <sheetViews>
    <sheetView workbookViewId="0">
      <selection activeCell="A5" sqref="A5"/>
    </sheetView>
  </sheetViews>
  <sheetFormatPr defaultRowHeight="13.2"/>
  <sheetData>
    <row r="1" spans="1:1">
      <c r="A1" t="s">
        <v>743</v>
      </c>
    </row>
    <row r="3" spans="1:1">
      <c r="A3" t="s">
        <v>744</v>
      </c>
    </row>
    <row r="4" spans="1:1">
      <c r="A4" t="s">
        <v>745</v>
      </c>
    </row>
  </sheetData>
  <pageMargins left="0.7" right="0.7" top="0.75" bottom="0.75" header="0.3" footer="0.3"/>
  <pageSetup paperSize="9" orientation="portrait" verticalDpi="0" r:id="rId1"/>
  <headerFooter>
    <oddHeader>&amp;L&amp;"Arial Black"&amp;10&amp;K76923C&amp;1#</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ECE41-5473-4CE1-AEA7-90DBC5B59334}">
  <dimension ref="A1:H184"/>
  <sheetViews>
    <sheetView zoomScale="110" zoomScaleNormal="110" workbookViewId="0">
      <selection activeCell="A101" sqref="A101:C101"/>
    </sheetView>
  </sheetViews>
  <sheetFormatPr defaultColWidth="12.5546875" defaultRowHeight="13.8"/>
  <cols>
    <col min="1" max="1" width="14.5546875" style="287" customWidth="1"/>
    <col min="2" max="2" width="7.33203125" style="287" customWidth="1"/>
    <col min="3" max="3" width="105.88671875" style="288" customWidth="1"/>
    <col min="4" max="4" width="18.5546875" style="288" bestFit="1" customWidth="1"/>
    <col min="5" max="6" width="15.6640625" style="288" customWidth="1"/>
    <col min="7" max="7" width="20.109375" style="288" customWidth="1"/>
    <col min="8" max="8" width="28.6640625" style="288" customWidth="1"/>
    <col min="9" max="16384" width="12.5546875" style="287"/>
  </cols>
  <sheetData>
    <row r="1" spans="1:8" ht="28.2" thickBot="1">
      <c r="A1" s="310" t="s">
        <v>221</v>
      </c>
      <c r="B1" s="309" t="s">
        <v>222</v>
      </c>
      <c r="C1" s="308" t="s">
        <v>223</v>
      </c>
      <c r="D1" s="308" t="s">
        <v>224</v>
      </c>
      <c r="E1" s="308" t="s">
        <v>225</v>
      </c>
      <c r="F1" s="308" t="s">
        <v>226</v>
      </c>
      <c r="G1" s="308" t="s">
        <v>227</v>
      </c>
      <c r="H1" s="307" t="s">
        <v>228</v>
      </c>
    </row>
    <row r="2" spans="1:8">
      <c r="A2" s="306">
        <v>14</v>
      </c>
      <c r="B2" s="305" t="s">
        <v>229</v>
      </c>
      <c r="C2" s="304" t="s">
        <v>230</v>
      </c>
      <c r="D2" s="303"/>
      <c r="E2" s="303"/>
      <c r="F2" s="303"/>
      <c r="G2" s="302"/>
      <c r="H2" s="295"/>
    </row>
    <row r="3" spans="1:8">
      <c r="A3" s="300">
        <v>30</v>
      </c>
      <c r="B3" s="299" t="s">
        <v>231</v>
      </c>
      <c r="C3" s="301" t="s">
        <v>232</v>
      </c>
      <c r="D3" s="297"/>
      <c r="E3" s="297"/>
      <c r="F3" s="297"/>
      <c r="G3" s="296"/>
      <c r="H3" s="295"/>
    </row>
    <row r="4" spans="1:8">
      <c r="A4" s="300">
        <v>15</v>
      </c>
      <c r="B4" s="299" t="s">
        <v>233</v>
      </c>
      <c r="C4" s="301" t="s">
        <v>234</v>
      </c>
      <c r="D4" s="297"/>
      <c r="E4" s="297"/>
      <c r="F4" s="297"/>
      <c r="G4" s="296"/>
      <c r="H4" s="295"/>
    </row>
    <row r="5" spans="1:8" ht="27.6">
      <c r="A5" s="300">
        <v>16</v>
      </c>
      <c r="B5" s="299" t="s">
        <v>235</v>
      </c>
      <c r="C5" s="297" t="s">
        <v>236</v>
      </c>
      <c r="D5" s="298" t="s">
        <v>237</v>
      </c>
      <c r="E5" s="297"/>
      <c r="F5" s="297"/>
      <c r="G5" s="296"/>
      <c r="H5" s="295"/>
    </row>
    <row r="6" spans="1:8" ht="27.6">
      <c r="A6" s="300">
        <v>17</v>
      </c>
      <c r="B6" s="299" t="s">
        <v>238</v>
      </c>
      <c r="C6" s="297" t="s">
        <v>239</v>
      </c>
      <c r="D6" s="298" t="s">
        <v>237</v>
      </c>
      <c r="E6" s="297"/>
      <c r="F6" s="297"/>
      <c r="G6" s="296"/>
      <c r="H6" s="295"/>
    </row>
    <row r="7" spans="1:8">
      <c r="A7" s="300">
        <v>18</v>
      </c>
      <c r="B7" s="299" t="s">
        <v>240</v>
      </c>
      <c r="C7" s="301" t="s">
        <v>241</v>
      </c>
      <c r="D7" s="297"/>
      <c r="E7" s="297"/>
      <c r="F7" s="297"/>
      <c r="G7" s="296"/>
      <c r="H7" s="295"/>
    </row>
    <row r="8" spans="1:8" ht="27.6">
      <c r="A8" s="300">
        <v>19</v>
      </c>
      <c r="B8" s="299" t="s">
        <v>242</v>
      </c>
      <c r="C8" s="297" t="s">
        <v>243</v>
      </c>
      <c r="D8" s="298" t="s">
        <v>237</v>
      </c>
      <c r="E8" s="297"/>
      <c r="F8" s="297"/>
      <c r="G8" s="296"/>
      <c r="H8" s="295"/>
    </row>
    <row r="9" spans="1:8">
      <c r="A9" s="300">
        <v>20</v>
      </c>
      <c r="B9" s="299" t="s">
        <v>244</v>
      </c>
      <c r="C9" s="301" t="s">
        <v>245</v>
      </c>
      <c r="D9" s="297"/>
      <c r="E9" s="297"/>
      <c r="F9" s="297"/>
      <c r="G9" s="296"/>
      <c r="H9" s="295"/>
    </row>
    <row r="10" spans="1:8" ht="41.4">
      <c r="A10" s="300">
        <v>21</v>
      </c>
      <c r="B10" s="299" t="s">
        <v>246</v>
      </c>
      <c r="C10" s="297" t="s">
        <v>247</v>
      </c>
      <c r="D10" s="298" t="s">
        <v>237</v>
      </c>
      <c r="E10" s="297"/>
      <c r="F10" s="297"/>
      <c r="G10" s="296"/>
      <c r="H10" s="295"/>
    </row>
    <row r="11" spans="1:8">
      <c r="A11" s="300">
        <v>22</v>
      </c>
      <c r="B11" s="299" t="s">
        <v>248</v>
      </c>
      <c r="C11" s="301" t="s">
        <v>249</v>
      </c>
      <c r="D11" s="297"/>
      <c r="E11" s="297"/>
      <c r="F11" s="297"/>
      <c r="G11" s="296"/>
      <c r="H11" s="295"/>
    </row>
    <row r="12" spans="1:8">
      <c r="A12" s="300">
        <v>23</v>
      </c>
      <c r="B12" s="299" t="s">
        <v>250</v>
      </c>
      <c r="C12" s="297" t="s">
        <v>251</v>
      </c>
      <c r="D12" s="298" t="s">
        <v>237</v>
      </c>
      <c r="E12" s="297"/>
      <c r="F12" s="297" t="s">
        <v>252</v>
      </c>
      <c r="G12" s="296"/>
      <c r="H12" s="295"/>
    </row>
    <row r="13" spans="1:8">
      <c r="A13" s="300">
        <v>24</v>
      </c>
      <c r="B13" s="299" t="s">
        <v>253</v>
      </c>
      <c r="C13" s="301" t="s">
        <v>254</v>
      </c>
      <c r="D13" s="297"/>
      <c r="E13" s="297"/>
      <c r="F13" s="297"/>
      <c r="G13" s="296"/>
      <c r="H13" s="295"/>
    </row>
    <row r="14" spans="1:8">
      <c r="A14" s="300">
        <v>25</v>
      </c>
      <c r="B14" s="299" t="s">
        <v>255</v>
      </c>
      <c r="C14" s="297" t="s">
        <v>256</v>
      </c>
      <c r="D14" s="298" t="s">
        <v>237</v>
      </c>
      <c r="E14" s="297"/>
      <c r="F14" s="297" t="s">
        <v>257</v>
      </c>
      <c r="G14" s="296"/>
      <c r="H14" s="295"/>
    </row>
    <row r="15" spans="1:8">
      <c r="A15" s="300">
        <v>26</v>
      </c>
      <c r="B15" s="299" t="s">
        <v>258</v>
      </c>
      <c r="C15" s="301" t="s">
        <v>259</v>
      </c>
      <c r="D15" s="297"/>
      <c r="E15" s="297"/>
      <c r="F15" s="297"/>
      <c r="G15" s="296"/>
      <c r="H15" s="295"/>
    </row>
    <row r="16" spans="1:8">
      <c r="A16" s="300">
        <v>27</v>
      </c>
      <c r="B16" s="299" t="s">
        <v>260</v>
      </c>
      <c r="C16" s="297" t="s">
        <v>261</v>
      </c>
      <c r="D16" s="298" t="s">
        <v>237</v>
      </c>
      <c r="E16" s="297"/>
      <c r="F16" s="297" t="s">
        <v>262</v>
      </c>
      <c r="G16" s="296"/>
      <c r="H16" s="295"/>
    </row>
    <row r="17" spans="1:8">
      <c r="A17" s="300">
        <v>28</v>
      </c>
      <c r="B17" s="299" t="s">
        <v>263</v>
      </c>
      <c r="C17" s="301" t="s">
        <v>264</v>
      </c>
      <c r="D17" s="297"/>
      <c r="E17" s="297"/>
      <c r="F17" s="297"/>
      <c r="G17" s="296"/>
      <c r="H17" s="295"/>
    </row>
    <row r="18" spans="1:8">
      <c r="A18" s="300">
        <v>29</v>
      </c>
      <c r="B18" s="299" t="s">
        <v>265</v>
      </c>
      <c r="C18" s="297" t="s">
        <v>266</v>
      </c>
      <c r="D18" s="298" t="s">
        <v>237</v>
      </c>
      <c r="E18" s="297"/>
      <c r="F18" s="297" t="s">
        <v>267</v>
      </c>
      <c r="G18" s="296"/>
      <c r="H18" s="295"/>
    </row>
    <row r="19" spans="1:8">
      <c r="A19" s="300">
        <v>31</v>
      </c>
      <c r="B19" s="299" t="s">
        <v>268</v>
      </c>
      <c r="C19" s="301" t="s">
        <v>269</v>
      </c>
      <c r="D19" s="297"/>
      <c r="E19" s="297"/>
      <c r="F19" s="297"/>
      <c r="G19" s="296"/>
      <c r="H19" s="295"/>
    </row>
    <row r="20" spans="1:8">
      <c r="A20" s="300">
        <v>32</v>
      </c>
      <c r="B20" s="299" t="s">
        <v>270</v>
      </c>
      <c r="C20" s="301" t="s">
        <v>271</v>
      </c>
      <c r="D20" s="297"/>
      <c r="E20" s="297"/>
      <c r="F20" s="297"/>
      <c r="G20" s="296"/>
      <c r="H20" s="295"/>
    </row>
    <row r="21" spans="1:8" ht="41.4">
      <c r="A21" s="300">
        <v>33</v>
      </c>
      <c r="B21" s="299" t="s">
        <v>272</v>
      </c>
      <c r="C21" s="297" t="s">
        <v>273</v>
      </c>
      <c r="D21" s="298" t="s">
        <v>208</v>
      </c>
      <c r="E21" s="297"/>
      <c r="F21" s="297" t="s">
        <v>252</v>
      </c>
      <c r="G21" s="296"/>
      <c r="H21" s="295"/>
    </row>
    <row r="22" spans="1:8">
      <c r="A22" s="300">
        <v>34</v>
      </c>
      <c r="B22" s="299" t="s">
        <v>274</v>
      </c>
      <c r="C22" s="301" t="s">
        <v>275</v>
      </c>
      <c r="D22" s="297"/>
      <c r="E22" s="297"/>
      <c r="F22" s="297"/>
      <c r="G22" s="296"/>
      <c r="H22" s="295"/>
    </row>
    <row r="23" spans="1:8" ht="27.6">
      <c r="A23" s="300">
        <v>35</v>
      </c>
      <c r="B23" s="299" t="s">
        <v>276</v>
      </c>
      <c r="C23" s="297" t="s">
        <v>277</v>
      </c>
      <c r="D23" s="298" t="s">
        <v>237</v>
      </c>
      <c r="E23" s="297"/>
      <c r="F23" s="297"/>
      <c r="G23" s="296"/>
      <c r="H23" s="295"/>
    </row>
    <row r="24" spans="1:8" ht="193.2">
      <c r="A24" s="300">
        <v>36</v>
      </c>
      <c r="B24" s="299" t="s">
        <v>278</v>
      </c>
      <c r="C24" s="297" t="s">
        <v>279</v>
      </c>
      <c r="D24" s="298" t="s">
        <v>208</v>
      </c>
      <c r="E24" s="297"/>
      <c r="F24" s="297" t="s">
        <v>280</v>
      </c>
      <c r="G24" s="296"/>
      <c r="H24" s="295"/>
    </row>
    <row r="25" spans="1:8" ht="27.6">
      <c r="A25" s="300">
        <v>37</v>
      </c>
      <c r="B25" s="299" t="s">
        <v>281</v>
      </c>
      <c r="C25" s="297" t="s">
        <v>282</v>
      </c>
      <c r="D25" s="298" t="s">
        <v>237</v>
      </c>
      <c r="E25" s="297"/>
      <c r="F25" s="297"/>
      <c r="G25" s="296"/>
      <c r="H25" s="295"/>
    </row>
    <row r="26" spans="1:8">
      <c r="A26" s="300">
        <v>38</v>
      </c>
      <c r="B26" s="299" t="s">
        <v>283</v>
      </c>
      <c r="C26" s="301" t="s">
        <v>284</v>
      </c>
      <c r="D26" s="297"/>
      <c r="E26" s="297"/>
      <c r="F26" s="297"/>
      <c r="G26" s="296"/>
      <c r="H26" s="295"/>
    </row>
    <row r="27" spans="1:8" ht="27.6">
      <c r="A27" s="300">
        <v>39</v>
      </c>
      <c r="B27" s="299" t="s">
        <v>285</v>
      </c>
      <c r="C27" s="297" t="s">
        <v>286</v>
      </c>
      <c r="D27" s="298" t="s">
        <v>237</v>
      </c>
      <c r="E27" s="297"/>
      <c r="F27" s="297"/>
      <c r="G27" s="296"/>
      <c r="H27" s="295"/>
    </row>
    <row r="28" spans="1:8">
      <c r="A28" s="300">
        <v>40</v>
      </c>
      <c r="B28" s="299" t="s">
        <v>287</v>
      </c>
      <c r="C28" s="301" t="s">
        <v>288</v>
      </c>
      <c r="D28" s="297"/>
      <c r="E28" s="297"/>
      <c r="F28" s="297"/>
      <c r="G28" s="296"/>
      <c r="H28" s="295"/>
    </row>
    <row r="29" spans="1:8" ht="27.6">
      <c r="A29" s="300">
        <v>41</v>
      </c>
      <c r="B29" s="299" t="s">
        <v>289</v>
      </c>
      <c r="C29" s="297" t="s">
        <v>290</v>
      </c>
      <c r="D29" s="298" t="s">
        <v>237</v>
      </c>
      <c r="E29" s="297"/>
      <c r="F29" s="297"/>
      <c r="G29" s="296"/>
      <c r="H29" s="295"/>
    </row>
    <row r="30" spans="1:8" ht="27.6">
      <c r="A30" s="300">
        <v>42</v>
      </c>
      <c r="B30" s="299" t="s">
        <v>291</v>
      </c>
      <c r="C30" s="297" t="s">
        <v>292</v>
      </c>
      <c r="D30" s="298" t="s">
        <v>237</v>
      </c>
      <c r="E30" s="297"/>
      <c r="F30" s="297"/>
      <c r="G30" s="296"/>
      <c r="H30" s="295"/>
    </row>
    <row r="31" spans="1:8">
      <c r="A31" s="300">
        <v>43</v>
      </c>
      <c r="B31" s="299" t="s">
        <v>293</v>
      </c>
      <c r="C31" s="301" t="s">
        <v>294</v>
      </c>
      <c r="D31" s="297"/>
      <c r="E31" s="297"/>
      <c r="F31" s="297"/>
      <c r="G31" s="296"/>
      <c r="H31" s="295"/>
    </row>
    <row r="32" spans="1:8" ht="27.6">
      <c r="A32" s="300">
        <v>44</v>
      </c>
      <c r="B32" s="299" t="s">
        <v>295</v>
      </c>
      <c r="C32" s="297" t="s">
        <v>296</v>
      </c>
      <c r="D32" s="298" t="s">
        <v>237</v>
      </c>
      <c r="E32" s="297"/>
      <c r="F32" s="297"/>
      <c r="G32" s="296"/>
      <c r="H32" s="295"/>
    </row>
    <row r="33" spans="1:8">
      <c r="A33" s="300">
        <v>45</v>
      </c>
      <c r="B33" s="299" t="s">
        <v>297</v>
      </c>
      <c r="C33" s="301" t="s">
        <v>298</v>
      </c>
      <c r="D33" s="297"/>
      <c r="E33" s="297"/>
      <c r="F33" s="297"/>
      <c r="G33" s="296"/>
      <c r="H33" s="295"/>
    </row>
    <row r="34" spans="1:8" ht="27.6">
      <c r="A34" s="300">
        <v>46</v>
      </c>
      <c r="B34" s="299" t="s">
        <v>299</v>
      </c>
      <c r="C34" s="297" t="s">
        <v>300</v>
      </c>
      <c r="D34" s="298" t="s">
        <v>237</v>
      </c>
      <c r="E34" s="297"/>
      <c r="F34" s="297"/>
      <c r="G34" s="296"/>
      <c r="H34" s="295"/>
    </row>
    <row r="35" spans="1:8">
      <c r="A35" s="300">
        <v>47</v>
      </c>
      <c r="B35" s="299" t="s">
        <v>301</v>
      </c>
      <c r="C35" s="301" t="s">
        <v>302</v>
      </c>
      <c r="D35" s="297"/>
      <c r="E35" s="297"/>
      <c r="F35" s="297"/>
      <c r="G35" s="296"/>
      <c r="H35" s="295"/>
    </row>
    <row r="36" spans="1:8">
      <c r="A36" s="300">
        <v>48</v>
      </c>
      <c r="B36" s="299" t="s">
        <v>303</v>
      </c>
      <c r="C36" s="301" t="s">
        <v>304</v>
      </c>
      <c r="D36" s="297"/>
      <c r="E36" s="297"/>
      <c r="F36" s="297"/>
      <c r="G36" s="296"/>
      <c r="H36" s="295"/>
    </row>
    <row r="37" spans="1:8" ht="55.2">
      <c r="A37" s="300">
        <v>49</v>
      </c>
      <c r="B37" s="299" t="s">
        <v>305</v>
      </c>
      <c r="C37" s="297" t="s">
        <v>306</v>
      </c>
      <c r="D37" s="298" t="s">
        <v>208</v>
      </c>
      <c r="E37" s="297"/>
      <c r="F37" s="297" t="s">
        <v>252</v>
      </c>
      <c r="G37" s="296"/>
      <c r="H37" s="295"/>
    </row>
    <row r="38" spans="1:8">
      <c r="A38" s="300">
        <v>50</v>
      </c>
      <c r="B38" s="299" t="s">
        <v>307</v>
      </c>
      <c r="C38" s="301" t="s">
        <v>308</v>
      </c>
      <c r="D38" s="297"/>
      <c r="E38" s="297"/>
      <c r="F38" s="297"/>
      <c r="G38" s="296"/>
      <c r="H38" s="295"/>
    </row>
    <row r="39" spans="1:8" ht="27.6">
      <c r="A39" s="300">
        <v>51</v>
      </c>
      <c r="B39" s="299" t="s">
        <v>309</v>
      </c>
      <c r="C39" s="297" t="s">
        <v>310</v>
      </c>
      <c r="D39" s="298" t="s">
        <v>208</v>
      </c>
      <c r="E39" s="297"/>
      <c r="F39" s="297"/>
      <c r="G39" s="296"/>
      <c r="H39" s="295"/>
    </row>
    <row r="40" spans="1:8">
      <c r="A40" s="300">
        <v>52</v>
      </c>
      <c r="B40" s="299" t="s">
        <v>311</v>
      </c>
      <c r="C40" s="301" t="s">
        <v>312</v>
      </c>
      <c r="D40" s="297"/>
      <c r="E40" s="297"/>
      <c r="F40" s="297"/>
      <c r="G40" s="296"/>
      <c r="H40" s="295"/>
    </row>
    <row r="41" spans="1:8">
      <c r="A41" s="300">
        <v>53</v>
      </c>
      <c r="B41" s="299" t="s">
        <v>313</v>
      </c>
      <c r="C41" s="297" t="s">
        <v>314</v>
      </c>
      <c r="D41" s="298" t="s">
        <v>237</v>
      </c>
      <c r="E41" s="297"/>
      <c r="F41" s="297" t="s">
        <v>315</v>
      </c>
      <c r="G41" s="296"/>
      <c r="H41" s="295"/>
    </row>
    <row r="42" spans="1:8">
      <c r="A42" s="300">
        <v>54</v>
      </c>
      <c r="B42" s="299" t="s">
        <v>316</v>
      </c>
      <c r="C42" s="297" t="s">
        <v>317</v>
      </c>
      <c r="D42" s="298" t="s">
        <v>237</v>
      </c>
      <c r="E42" s="297"/>
      <c r="F42" s="297" t="s">
        <v>318</v>
      </c>
      <c r="G42" s="296"/>
      <c r="H42" s="295"/>
    </row>
    <row r="43" spans="1:8" ht="27.6">
      <c r="A43" s="300">
        <v>55</v>
      </c>
      <c r="B43" s="299" t="s">
        <v>319</v>
      </c>
      <c r="C43" s="297" t="s">
        <v>320</v>
      </c>
      <c r="D43" s="298" t="s">
        <v>237</v>
      </c>
      <c r="E43" s="297"/>
      <c r="F43" s="297" t="s">
        <v>321</v>
      </c>
      <c r="G43" s="296"/>
      <c r="H43" s="295"/>
    </row>
    <row r="44" spans="1:8">
      <c r="A44" s="300">
        <v>56</v>
      </c>
      <c r="B44" s="299" t="s">
        <v>322</v>
      </c>
      <c r="C44" s="301" t="s">
        <v>323</v>
      </c>
      <c r="D44" s="297"/>
      <c r="E44" s="297"/>
      <c r="F44" s="297"/>
      <c r="G44" s="296"/>
      <c r="H44" s="295"/>
    </row>
    <row r="45" spans="1:8" ht="27.6">
      <c r="A45" s="300">
        <v>57</v>
      </c>
      <c r="B45" s="299" t="s">
        <v>324</v>
      </c>
      <c r="C45" s="297" t="s">
        <v>325</v>
      </c>
      <c r="D45" s="298" t="s">
        <v>208</v>
      </c>
      <c r="E45" s="297"/>
      <c r="F45" s="297" t="s">
        <v>326</v>
      </c>
      <c r="G45" s="296"/>
      <c r="H45" s="295"/>
    </row>
    <row r="46" spans="1:8" ht="27.6">
      <c r="A46" s="300">
        <v>58</v>
      </c>
      <c r="B46" s="299" t="s">
        <v>327</v>
      </c>
      <c r="C46" s="297" t="s">
        <v>328</v>
      </c>
      <c r="D46" s="298" t="s">
        <v>237</v>
      </c>
      <c r="E46" s="297"/>
      <c r="F46" s="297"/>
      <c r="G46" s="296"/>
      <c r="H46" s="295"/>
    </row>
    <row r="47" spans="1:8" ht="27.6">
      <c r="A47" s="300">
        <v>59</v>
      </c>
      <c r="B47" s="299" t="s">
        <v>329</v>
      </c>
      <c r="C47" s="297" t="s">
        <v>330</v>
      </c>
      <c r="D47" s="298" t="s">
        <v>237</v>
      </c>
      <c r="E47" s="297"/>
      <c r="F47" s="297"/>
      <c r="G47" s="296"/>
      <c r="H47" s="295"/>
    </row>
    <row r="48" spans="1:8" ht="55.2">
      <c r="A48" s="300">
        <v>60</v>
      </c>
      <c r="B48" s="299" t="s">
        <v>331</v>
      </c>
      <c r="C48" s="297" t="s">
        <v>332</v>
      </c>
      <c r="D48" s="298" t="s">
        <v>237</v>
      </c>
      <c r="E48" s="297" t="s">
        <v>333</v>
      </c>
      <c r="F48" s="297"/>
      <c r="G48" s="296"/>
      <c r="H48" s="295"/>
    </row>
    <row r="49" spans="1:8">
      <c r="A49" s="300">
        <v>61</v>
      </c>
      <c r="B49" s="299" t="s">
        <v>334</v>
      </c>
      <c r="C49" s="301" t="s">
        <v>335</v>
      </c>
      <c r="D49" s="297"/>
      <c r="E49" s="297"/>
      <c r="F49" s="297"/>
      <c r="G49" s="296"/>
      <c r="H49" s="295"/>
    </row>
    <row r="50" spans="1:8" ht="138">
      <c r="A50" s="300">
        <v>62</v>
      </c>
      <c r="B50" s="299" t="s">
        <v>336</v>
      </c>
      <c r="C50" s="297" t="s">
        <v>337</v>
      </c>
      <c r="D50" s="298" t="s">
        <v>237</v>
      </c>
      <c r="E50" s="297"/>
      <c r="F50" s="297"/>
      <c r="G50" s="296"/>
      <c r="H50" s="295"/>
    </row>
    <row r="51" spans="1:8" ht="151.80000000000001">
      <c r="A51" s="300">
        <v>63</v>
      </c>
      <c r="B51" s="299" t="s">
        <v>338</v>
      </c>
      <c r="C51" s="297" t="s">
        <v>339</v>
      </c>
      <c r="D51" s="298" t="s">
        <v>237</v>
      </c>
      <c r="E51" s="297"/>
      <c r="F51" s="297"/>
      <c r="G51" s="296"/>
      <c r="H51" s="295"/>
    </row>
    <row r="52" spans="1:8">
      <c r="A52" s="300">
        <v>64</v>
      </c>
      <c r="B52" s="299" t="s">
        <v>340</v>
      </c>
      <c r="C52" s="297" t="s">
        <v>341</v>
      </c>
      <c r="D52" s="298" t="s">
        <v>237</v>
      </c>
      <c r="E52" s="297"/>
      <c r="F52" s="297"/>
      <c r="G52" s="296"/>
      <c r="H52" s="295"/>
    </row>
    <row r="53" spans="1:8">
      <c r="A53" s="300">
        <v>65</v>
      </c>
      <c r="B53" s="299" t="s">
        <v>342</v>
      </c>
      <c r="C53" s="297" t="s">
        <v>343</v>
      </c>
      <c r="D53" s="298" t="s">
        <v>237</v>
      </c>
      <c r="E53" s="297"/>
      <c r="F53" s="297"/>
      <c r="G53" s="296"/>
      <c r="H53" s="295"/>
    </row>
    <row r="54" spans="1:8" ht="27.6">
      <c r="A54" s="300">
        <v>66</v>
      </c>
      <c r="B54" s="299" t="s">
        <v>344</v>
      </c>
      <c r="C54" s="297" t="s">
        <v>345</v>
      </c>
      <c r="D54" s="298" t="s">
        <v>237</v>
      </c>
      <c r="E54" s="297"/>
      <c r="F54" s="297"/>
      <c r="G54" s="296"/>
      <c r="H54" s="295"/>
    </row>
    <row r="55" spans="1:8" ht="27.6">
      <c r="A55" s="300">
        <v>67</v>
      </c>
      <c r="B55" s="299" t="s">
        <v>346</v>
      </c>
      <c r="C55" s="297" t="s">
        <v>347</v>
      </c>
      <c r="D55" s="298" t="s">
        <v>208</v>
      </c>
      <c r="E55" s="297"/>
      <c r="F55" s="297"/>
      <c r="G55" s="296"/>
      <c r="H55" s="295"/>
    </row>
    <row r="56" spans="1:8">
      <c r="A56" s="300">
        <v>68</v>
      </c>
      <c r="B56" s="299" t="s">
        <v>348</v>
      </c>
      <c r="C56" s="301" t="s">
        <v>349</v>
      </c>
      <c r="D56" s="297"/>
      <c r="E56" s="297"/>
      <c r="F56" s="297"/>
      <c r="G56" s="296"/>
      <c r="H56" s="295"/>
    </row>
    <row r="57" spans="1:8">
      <c r="A57" s="300">
        <v>69</v>
      </c>
      <c r="B57" s="299" t="s">
        <v>350</v>
      </c>
      <c r="C57" s="297" t="s">
        <v>351</v>
      </c>
      <c r="D57" s="298" t="s">
        <v>208</v>
      </c>
      <c r="E57" s="297"/>
      <c r="F57" s="297" t="s">
        <v>280</v>
      </c>
      <c r="G57" s="296"/>
      <c r="H57" s="295"/>
    </row>
    <row r="58" spans="1:8" ht="41.4">
      <c r="A58" s="300">
        <v>70</v>
      </c>
      <c r="B58" s="299" t="s">
        <v>352</v>
      </c>
      <c r="C58" s="297" t="s">
        <v>353</v>
      </c>
      <c r="D58" s="298" t="s">
        <v>237</v>
      </c>
      <c r="E58" s="297"/>
      <c r="F58" s="297"/>
      <c r="G58" s="296"/>
      <c r="H58" s="295"/>
    </row>
    <row r="59" spans="1:8" ht="27.6">
      <c r="A59" s="300">
        <v>71</v>
      </c>
      <c r="B59" s="299" t="s">
        <v>354</v>
      </c>
      <c r="C59" s="297" t="s">
        <v>355</v>
      </c>
      <c r="D59" s="298" t="s">
        <v>237</v>
      </c>
      <c r="E59" s="297"/>
      <c r="F59" s="297"/>
      <c r="G59" s="296"/>
      <c r="H59" s="295"/>
    </row>
    <row r="60" spans="1:8">
      <c r="A60" s="300">
        <v>72</v>
      </c>
      <c r="B60" s="299" t="s">
        <v>356</v>
      </c>
      <c r="C60" s="297" t="s">
        <v>357</v>
      </c>
      <c r="D60" s="298" t="s">
        <v>208</v>
      </c>
      <c r="E60" s="297"/>
      <c r="F60" s="297"/>
      <c r="G60" s="296"/>
      <c r="H60" s="295"/>
    </row>
    <row r="61" spans="1:8" ht="27.6">
      <c r="A61" s="300">
        <v>73</v>
      </c>
      <c r="B61" s="299" t="s">
        <v>358</v>
      </c>
      <c r="C61" s="297" t="s">
        <v>359</v>
      </c>
      <c r="D61" s="298" t="s">
        <v>237</v>
      </c>
      <c r="E61" s="297"/>
      <c r="F61" s="297"/>
      <c r="G61" s="296"/>
      <c r="H61" s="295"/>
    </row>
    <row r="62" spans="1:8" ht="27.6">
      <c r="A62" s="300">
        <v>74</v>
      </c>
      <c r="B62" s="299" t="s">
        <v>360</v>
      </c>
      <c r="C62" s="297" t="s">
        <v>361</v>
      </c>
      <c r="D62" s="298" t="s">
        <v>237</v>
      </c>
      <c r="E62" s="297"/>
      <c r="F62" s="297"/>
      <c r="G62" s="296"/>
      <c r="H62" s="295"/>
    </row>
    <row r="63" spans="1:8">
      <c r="A63" s="300">
        <v>75</v>
      </c>
      <c r="B63" s="299" t="s">
        <v>362</v>
      </c>
      <c r="C63" s="301" t="s">
        <v>363</v>
      </c>
      <c r="D63" s="297"/>
      <c r="E63" s="297"/>
      <c r="F63" s="297"/>
      <c r="G63" s="296"/>
      <c r="H63" s="295"/>
    </row>
    <row r="64" spans="1:8" ht="27.6">
      <c r="A64" s="300">
        <v>76</v>
      </c>
      <c r="B64" s="299" t="s">
        <v>364</v>
      </c>
      <c r="C64" s="297" t="s">
        <v>365</v>
      </c>
      <c r="D64" s="298" t="s">
        <v>237</v>
      </c>
      <c r="E64" s="297"/>
      <c r="F64" s="297" t="s">
        <v>315</v>
      </c>
      <c r="G64" s="296"/>
      <c r="H64" s="295"/>
    </row>
    <row r="65" spans="1:8" ht="27.6">
      <c r="A65" s="300">
        <v>77</v>
      </c>
      <c r="B65" s="299" t="s">
        <v>366</v>
      </c>
      <c r="C65" s="297" t="s">
        <v>367</v>
      </c>
      <c r="D65" s="298" t="s">
        <v>208</v>
      </c>
      <c r="E65" s="297"/>
      <c r="F65" s="297"/>
      <c r="G65" s="296"/>
      <c r="H65" s="295"/>
    </row>
    <row r="66" spans="1:8">
      <c r="A66" s="300">
        <v>78</v>
      </c>
      <c r="B66" s="299" t="s">
        <v>368</v>
      </c>
      <c r="C66" s="301" t="s">
        <v>369</v>
      </c>
      <c r="D66" s="297"/>
      <c r="E66" s="297"/>
      <c r="F66" s="297"/>
      <c r="G66" s="296"/>
      <c r="H66" s="295"/>
    </row>
    <row r="67" spans="1:8" ht="27.6">
      <c r="A67" s="300">
        <v>79</v>
      </c>
      <c r="B67" s="299" t="s">
        <v>370</v>
      </c>
      <c r="C67" s="297" t="s">
        <v>371</v>
      </c>
      <c r="D67" s="298" t="s">
        <v>237</v>
      </c>
      <c r="E67" s="297"/>
      <c r="F67" s="297"/>
      <c r="G67" s="296"/>
      <c r="H67" s="295"/>
    </row>
    <row r="68" spans="1:8" ht="27.6">
      <c r="A68" s="300">
        <v>80</v>
      </c>
      <c r="B68" s="299" t="s">
        <v>372</v>
      </c>
      <c r="C68" s="297" t="s">
        <v>373</v>
      </c>
      <c r="D68" s="298" t="s">
        <v>237</v>
      </c>
      <c r="E68" s="297"/>
      <c r="F68" s="297"/>
      <c r="G68" s="296"/>
      <c r="H68" s="295"/>
    </row>
    <row r="69" spans="1:8" ht="27.6">
      <c r="A69" s="300">
        <v>81</v>
      </c>
      <c r="B69" s="299" t="s">
        <v>374</v>
      </c>
      <c r="C69" s="297" t="s">
        <v>375</v>
      </c>
      <c r="D69" s="298" t="s">
        <v>237</v>
      </c>
      <c r="E69" s="297"/>
      <c r="F69" s="297"/>
      <c r="G69" s="296"/>
      <c r="H69" s="295"/>
    </row>
    <row r="70" spans="1:8" ht="27.6">
      <c r="A70" s="300">
        <v>82</v>
      </c>
      <c r="B70" s="299" t="s">
        <v>376</v>
      </c>
      <c r="C70" s="297" t="s">
        <v>377</v>
      </c>
      <c r="D70" s="298" t="s">
        <v>237</v>
      </c>
      <c r="E70" s="297"/>
      <c r="F70" s="297"/>
      <c r="G70" s="296"/>
      <c r="H70" s="295"/>
    </row>
    <row r="71" spans="1:8" ht="27.6">
      <c r="A71" s="300">
        <v>83</v>
      </c>
      <c r="B71" s="299" t="s">
        <v>378</v>
      </c>
      <c r="C71" s="297" t="s">
        <v>379</v>
      </c>
      <c r="D71" s="298" t="s">
        <v>237</v>
      </c>
      <c r="E71" s="297"/>
      <c r="F71" s="297"/>
      <c r="G71" s="296"/>
      <c r="H71" s="295"/>
    </row>
    <row r="72" spans="1:8" ht="27.6">
      <c r="A72" s="300">
        <v>84</v>
      </c>
      <c r="B72" s="299" t="s">
        <v>380</v>
      </c>
      <c r="C72" s="297" t="s">
        <v>381</v>
      </c>
      <c r="D72" s="298" t="s">
        <v>237</v>
      </c>
      <c r="E72" s="297"/>
      <c r="F72" s="297"/>
      <c r="G72" s="296"/>
      <c r="H72" s="295"/>
    </row>
    <row r="73" spans="1:8" ht="27.6">
      <c r="A73" s="300">
        <v>85</v>
      </c>
      <c r="B73" s="299" t="s">
        <v>382</v>
      </c>
      <c r="C73" s="297" t="s">
        <v>383</v>
      </c>
      <c r="D73" s="298" t="s">
        <v>208</v>
      </c>
      <c r="E73" s="297"/>
      <c r="F73" s="297" t="s">
        <v>315</v>
      </c>
      <c r="G73" s="296"/>
      <c r="H73" s="295"/>
    </row>
    <row r="74" spans="1:8">
      <c r="A74" s="300">
        <v>86</v>
      </c>
      <c r="B74" s="299" t="s">
        <v>384</v>
      </c>
      <c r="C74" s="297" t="s">
        <v>385</v>
      </c>
      <c r="D74" s="298" t="s">
        <v>237</v>
      </c>
      <c r="E74" s="297"/>
      <c r="F74" s="297" t="s">
        <v>315</v>
      </c>
      <c r="G74" s="296"/>
      <c r="H74" s="295"/>
    </row>
    <row r="75" spans="1:8">
      <c r="A75" s="300">
        <v>87</v>
      </c>
      <c r="B75" s="299" t="s">
        <v>386</v>
      </c>
      <c r="C75" s="301" t="s">
        <v>387</v>
      </c>
      <c r="D75" s="297"/>
      <c r="E75" s="297"/>
      <c r="F75" s="297"/>
      <c r="G75" s="296"/>
      <c r="H75" s="295"/>
    </row>
    <row r="76" spans="1:8" ht="27.6">
      <c r="A76" s="300">
        <v>88</v>
      </c>
      <c r="B76" s="299" t="s">
        <v>388</v>
      </c>
      <c r="C76" s="297" t="s">
        <v>389</v>
      </c>
      <c r="D76" s="298" t="s">
        <v>237</v>
      </c>
      <c r="E76" s="297"/>
      <c r="F76" s="297"/>
      <c r="G76" s="296"/>
      <c r="H76" s="295"/>
    </row>
    <row r="77" spans="1:8" ht="27.6">
      <c r="A77" s="300">
        <v>89</v>
      </c>
      <c r="B77" s="299" t="s">
        <v>390</v>
      </c>
      <c r="C77" s="297" t="s">
        <v>391</v>
      </c>
      <c r="D77" s="298" t="s">
        <v>237</v>
      </c>
      <c r="E77" s="297"/>
      <c r="F77" s="297"/>
      <c r="G77" s="296"/>
      <c r="H77" s="295"/>
    </row>
    <row r="78" spans="1:8">
      <c r="A78" s="300">
        <v>90</v>
      </c>
      <c r="B78" s="299" t="s">
        <v>392</v>
      </c>
      <c r="C78" s="297" t="s">
        <v>393</v>
      </c>
      <c r="D78" s="298" t="s">
        <v>237</v>
      </c>
      <c r="E78" s="297"/>
      <c r="F78" s="297"/>
      <c r="G78" s="296"/>
      <c r="H78" s="295"/>
    </row>
    <row r="79" spans="1:8">
      <c r="A79" s="300">
        <v>91</v>
      </c>
      <c r="B79" s="299" t="s">
        <v>394</v>
      </c>
      <c r="C79" s="301" t="s">
        <v>395</v>
      </c>
      <c r="D79" s="297"/>
      <c r="E79" s="297"/>
      <c r="F79" s="297"/>
      <c r="G79" s="296"/>
      <c r="H79" s="295"/>
    </row>
    <row r="80" spans="1:8" ht="41.4">
      <c r="A80" s="300">
        <v>92</v>
      </c>
      <c r="B80" s="299" t="s">
        <v>396</v>
      </c>
      <c r="C80" s="297" t="s">
        <v>397</v>
      </c>
      <c r="D80" s="298" t="s">
        <v>237</v>
      </c>
      <c r="E80" s="297"/>
      <c r="F80" s="297"/>
      <c r="G80" s="296"/>
      <c r="H80" s="295"/>
    </row>
    <row r="81" spans="1:8">
      <c r="A81" s="300">
        <v>93</v>
      </c>
      <c r="B81" s="299" t="s">
        <v>398</v>
      </c>
      <c r="C81" s="301" t="s">
        <v>399</v>
      </c>
      <c r="D81" s="297"/>
      <c r="E81" s="297"/>
      <c r="F81" s="297"/>
      <c r="G81" s="296"/>
      <c r="H81" s="295"/>
    </row>
    <row r="82" spans="1:8">
      <c r="A82" s="300">
        <v>94</v>
      </c>
      <c r="B82" s="299" t="s">
        <v>400</v>
      </c>
      <c r="C82" s="301" t="s">
        <v>401</v>
      </c>
      <c r="D82" s="297"/>
      <c r="E82" s="297"/>
      <c r="F82" s="297"/>
      <c r="G82" s="296"/>
      <c r="H82" s="295"/>
    </row>
    <row r="83" spans="1:8" ht="55.2">
      <c r="A83" s="300">
        <v>95</v>
      </c>
      <c r="B83" s="299" t="s">
        <v>402</v>
      </c>
      <c r="C83" s="297" t="s">
        <v>403</v>
      </c>
      <c r="D83" s="298" t="s">
        <v>208</v>
      </c>
      <c r="E83" s="297"/>
      <c r="F83" s="297" t="s">
        <v>252</v>
      </c>
      <c r="G83" s="296"/>
      <c r="H83" s="295"/>
    </row>
    <row r="84" spans="1:8">
      <c r="A84" s="300">
        <v>96</v>
      </c>
      <c r="B84" s="299" t="s">
        <v>404</v>
      </c>
      <c r="C84" s="301" t="s">
        <v>405</v>
      </c>
      <c r="D84" s="297"/>
      <c r="E84" s="297"/>
      <c r="F84" s="297"/>
      <c r="G84" s="296"/>
      <c r="H84" s="295"/>
    </row>
    <row r="85" spans="1:8" ht="69">
      <c r="A85" s="300">
        <v>97</v>
      </c>
      <c r="B85" s="299" t="s">
        <v>406</v>
      </c>
      <c r="C85" s="297" t="s">
        <v>407</v>
      </c>
      <c r="D85" s="298" t="s">
        <v>208</v>
      </c>
      <c r="E85" s="297"/>
      <c r="F85" s="297"/>
      <c r="G85" s="296"/>
      <c r="H85" s="295"/>
    </row>
    <row r="86" spans="1:8" ht="41.4">
      <c r="A86" s="300">
        <v>98</v>
      </c>
      <c r="B86" s="299" t="s">
        <v>408</v>
      </c>
      <c r="C86" s="297" t="s">
        <v>409</v>
      </c>
      <c r="D86" s="298" t="s">
        <v>208</v>
      </c>
      <c r="E86" s="297"/>
      <c r="F86" s="297" t="s">
        <v>252</v>
      </c>
      <c r="G86" s="296"/>
      <c r="H86" s="295"/>
    </row>
    <row r="87" spans="1:8">
      <c r="A87" s="300">
        <v>99</v>
      </c>
      <c r="B87" s="299" t="s">
        <v>410</v>
      </c>
      <c r="C87" s="301" t="s">
        <v>411</v>
      </c>
      <c r="D87" s="297"/>
      <c r="E87" s="297"/>
      <c r="F87" s="297"/>
      <c r="G87" s="296"/>
      <c r="H87" s="295"/>
    </row>
    <row r="88" spans="1:8" ht="55.2">
      <c r="A88" s="300">
        <v>100</v>
      </c>
      <c r="B88" s="299" t="s">
        <v>412</v>
      </c>
      <c r="C88" s="297" t="s">
        <v>413</v>
      </c>
      <c r="D88" s="298" t="s">
        <v>208</v>
      </c>
      <c r="E88" s="297" t="s">
        <v>414</v>
      </c>
      <c r="F88" s="297"/>
      <c r="G88" s="296"/>
      <c r="H88" s="295"/>
    </row>
    <row r="89" spans="1:8" ht="27.6">
      <c r="A89" s="300">
        <v>101</v>
      </c>
      <c r="B89" s="299" t="s">
        <v>415</v>
      </c>
      <c r="C89" s="297" t="s">
        <v>416</v>
      </c>
      <c r="D89" s="298" t="s">
        <v>237</v>
      </c>
      <c r="E89" s="297"/>
      <c r="F89" s="297"/>
      <c r="G89" s="296"/>
      <c r="H89" s="295"/>
    </row>
    <row r="90" spans="1:8" ht="41.4">
      <c r="A90" s="300">
        <v>102</v>
      </c>
      <c r="B90" s="299" t="s">
        <v>417</v>
      </c>
      <c r="C90" s="297" t="s">
        <v>418</v>
      </c>
      <c r="D90" s="298" t="s">
        <v>237</v>
      </c>
      <c r="E90" s="297"/>
      <c r="F90" s="297"/>
      <c r="G90" s="296"/>
      <c r="H90" s="295"/>
    </row>
    <row r="91" spans="1:8" ht="27.6">
      <c r="A91" s="300">
        <v>103</v>
      </c>
      <c r="B91" s="299" t="s">
        <v>419</v>
      </c>
      <c r="C91" s="297" t="s">
        <v>420</v>
      </c>
      <c r="D91" s="298" t="s">
        <v>237</v>
      </c>
      <c r="E91" s="297"/>
      <c r="F91" s="297"/>
      <c r="G91" s="296"/>
      <c r="H91" s="295"/>
    </row>
    <row r="92" spans="1:8">
      <c r="A92" s="300">
        <v>104</v>
      </c>
      <c r="B92" s="299" t="s">
        <v>421</v>
      </c>
      <c r="C92" s="297" t="s">
        <v>422</v>
      </c>
      <c r="D92" s="298" t="s">
        <v>237</v>
      </c>
      <c r="E92" s="297"/>
      <c r="F92" s="297"/>
      <c r="G92" s="296"/>
      <c r="H92" s="295"/>
    </row>
    <row r="93" spans="1:8">
      <c r="A93" s="300">
        <v>234</v>
      </c>
      <c r="B93" s="299" t="s">
        <v>423</v>
      </c>
      <c r="C93" s="297" t="s">
        <v>424</v>
      </c>
      <c r="D93" s="298" t="s">
        <v>208</v>
      </c>
      <c r="E93" s="297"/>
      <c r="F93" s="297"/>
      <c r="G93" s="296"/>
      <c r="H93" s="295"/>
    </row>
    <row r="94" spans="1:8">
      <c r="A94" s="300">
        <v>106</v>
      </c>
      <c r="B94" s="299" t="s">
        <v>425</v>
      </c>
      <c r="C94" s="297" t="s">
        <v>426</v>
      </c>
      <c r="D94" s="298" t="s">
        <v>208</v>
      </c>
      <c r="E94" s="297"/>
      <c r="F94" s="297"/>
      <c r="G94" s="296"/>
      <c r="H94" s="295"/>
    </row>
    <row r="95" spans="1:8" ht="27.6">
      <c r="A95" s="300">
        <v>107</v>
      </c>
      <c r="B95" s="299" t="s">
        <v>427</v>
      </c>
      <c r="C95" s="297" t="s">
        <v>428</v>
      </c>
      <c r="D95" s="298" t="s">
        <v>237</v>
      </c>
      <c r="E95" s="297"/>
      <c r="F95" s="297"/>
      <c r="G95" s="296"/>
      <c r="H95" s="295"/>
    </row>
    <row r="96" spans="1:8" ht="27.6">
      <c r="A96" s="300">
        <v>108</v>
      </c>
      <c r="B96" s="299" t="s">
        <v>429</v>
      </c>
      <c r="C96" s="297" t="s">
        <v>430</v>
      </c>
      <c r="D96" s="298" t="s">
        <v>237</v>
      </c>
      <c r="E96" s="297"/>
      <c r="F96" s="297"/>
      <c r="G96" s="296"/>
      <c r="H96" s="295"/>
    </row>
    <row r="97" spans="1:8" ht="27.6">
      <c r="A97" s="300">
        <v>109</v>
      </c>
      <c r="B97" s="299" t="s">
        <v>431</v>
      </c>
      <c r="C97" s="297" t="s">
        <v>432</v>
      </c>
      <c r="D97" s="298" t="s">
        <v>237</v>
      </c>
      <c r="E97" s="297"/>
      <c r="F97" s="297"/>
      <c r="G97" s="296"/>
      <c r="H97" s="295"/>
    </row>
    <row r="98" spans="1:8" ht="27.6">
      <c r="A98" s="300">
        <v>110</v>
      </c>
      <c r="B98" s="299" t="s">
        <v>433</v>
      </c>
      <c r="C98" s="297" t="s">
        <v>434</v>
      </c>
      <c r="D98" s="298" t="s">
        <v>237</v>
      </c>
      <c r="E98" s="297"/>
      <c r="F98" s="297"/>
      <c r="G98" s="296"/>
      <c r="H98" s="295"/>
    </row>
    <row r="99" spans="1:8" ht="69">
      <c r="A99" s="300">
        <v>111</v>
      </c>
      <c r="B99" s="299" t="s">
        <v>435</v>
      </c>
      <c r="C99" s="297" t="s">
        <v>436</v>
      </c>
      <c r="D99" s="298" t="s">
        <v>208</v>
      </c>
      <c r="E99" s="297"/>
      <c r="F99" s="297"/>
      <c r="G99" s="296"/>
      <c r="H99" s="295"/>
    </row>
    <row r="100" spans="1:8">
      <c r="A100" s="300">
        <v>112</v>
      </c>
      <c r="B100" s="299" t="s">
        <v>437</v>
      </c>
      <c r="C100" s="301" t="s">
        <v>438</v>
      </c>
      <c r="D100" s="297"/>
      <c r="E100" s="297"/>
      <c r="F100" s="297"/>
      <c r="G100" s="296"/>
      <c r="H100" s="295"/>
    </row>
    <row r="101" spans="1:8">
      <c r="A101" s="300">
        <v>113</v>
      </c>
      <c r="B101" s="299" t="s">
        <v>439</v>
      </c>
      <c r="C101" s="297" t="s">
        <v>440</v>
      </c>
      <c r="D101" s="298" t="s">
        <v>237</v>
      </c>
      <c r="E101" s="297"/>
      <c r="F101" s="297"/>
      <c r="G101" s="296"/>
      <c r="H101" s="295"/>
    </row>
    <row r="102" spans="1:8">
      <c r="A102" s="300">
        <v>235</v>
      </c>
      <c r="B102" s="299" t="s">
        <v>441</v>
      </c>
      <c r="C102" s="297" t="s">
        <v>442</v>
      </c>
      <c r="D102" s="298" t="s">
        <v>208</v>
      </c>
      <c r="E102" s="297"/>
      <c r="F102" s="297"/>
      <c r="G102" s="296"/>
      <c r="H102" s="295"/>
    </row>
    <row r="103" spans="1:8">
      <c r="A103" s="300">
        <v>115</v>
      </c>
      <c r="B103" s="299" t="s">
        <v>443</v>
      </c>
      <c r="C103" s="297" t="s">
        <v>444</v>
      </c>
      <c r="D103" s="298" t="s">
        <v>208</v>
      </c>
      <c r="E103" s="297"/>
      <c r="F103" s="297"/>
      <c r="G103" s="296"/>
      <c r="H103" s="295"/>
    </row>
    <row r="104" spans="1:8" ht="27.6">
      <c r="A104" s="300">
        <v>116</v>
      </c>
      <c r="B104" s="299" t="s">
        <v>445</v>
      </c>
      <c r="C104" s="297" t="s">
        <v>446</v>
      </c>
      <c r="D104" s="298" t="s">
        <v>237</v>
      </c>
      <c r="E104" s="297"/>
      <c r="F104" s="297"/>
      <c r="G104" s="296"/>
      <c r="H104" s="295"/>
    </row>
    <row r="105" spans="1:8" ht="27.6">
      <c r="A105" s="300">
        <v>117</v>
      </c>
      <c r="B105" s="299" t="s">
        <v>447</v>
      </c>
      <c r="C105" s="297" t="s">
        <v>448</v>
      </c>
      <c r="D105" s="298" t="s">
        <v>237</v>
      </c>
      <c r="E105" s="297"/>
      <c r="F105" s="297"/>
      <c r="G105" s="296"/>
      <c r="H105" s="295"/>
    </row>
    <row r="106" spans="1:8" ht="27.6">
      <c r="A106" s="300">
        <v>118</v>
      </c>
      <c r="B106" s="299" t="s">
        <v>449</v>
      </c>
      <c r="C106" s="297" t="s">
        <v>450</v>
      </c>
      <c r="D106" s="298" t="s">
        <v>237</v>
      </c>
      <c r="E106" s="297"/>
      <c r="F106" s="297"/>
      <c r="G106" s="296"/>
      <c r="H106" s="295"/>
    </row>
    <row r="107" spans="1:8" ht="27.6">
      <c r="A107" s="300">
        <v>119</v>
      </c>
      <c r="B107" s="299" t="s">
        <v>451</v>
      </c>
      <c r="C107" s="297" t="s">
        <v>452</v>
      </c>
      <c r="D107" s="298" t="s">
        <v>237</v>
      </c>
      <c r="E107" s="297"/>
      <c r="F107" s="297"/>
      <c r="G107" s="296"/>
      <c r="H107" s="295"/>
    </row>
    <row r="108" spans="1:8" ht="55.2">
      <c r="A108" s="300">
        <v>120</v>
      </c>
      <c r="B108" s="299" t="s">
        <v>453</v>
      </c>
      <c r="C108" s="297" t="s">
        <v>454</v>
      </c>
      <c r="D108" s="298" t="s">
        <v>237</v>
      </c>
      <c r="E108" s="297"/>
      <c r="F108" s="297"/>
      <c r="G108" s="296"/>
      <c r="H108" s="295"/>
    </row>
    <row r="109" spans="1:8">
      <c r="A109" s="300">
        <v>121</v>
      </c>
      <c r="B109" s="299" t="s">
        <v>455</v>
      </c>
      <c r="C109" s="301" t="s">
        <v>456</v>
      </c>
      <c r="D109" s="297"/>
      <c r="E109" s="297"/>
      <c r="F109" s="297"/>
      <c r="G109" s="296"/>
      <c r="H109" s="295"/>
    </row>
    <row r="110" spans="1:8" ht="27.6">
      <c r="A110" s="300">
        <v>122</v>
      </c>
      <c r="B110" s="299" t="s">
        <v>457</v>
      </c>
      <c r="C110" s="297" t="s">
        <v>458</v>
      </c>
      <c r="D110" s="298" t="s">
        <v>208</v>
      </c>
      <c r="E110" s="297" t="s">
        <v>459</v>
      </c>
      <c r="F110" s="297"/>
      <c r="G110" s="296"/>
      <c r="H110" s="295"/>
    </row>
    <row r="111" spans="1:8">
      <c r="A111" s="300">
        <v>123</v>
      </c>
      <c r="B111" s="299" t="s">
        <v>460</v>
      </c>
      <c r="C111" s="301" t="s">
        <v>461</v>
      </c>
      <c r="D111" s="297"/>
      <c r="E111" s="297"/>
      <c r="F111" s="297"/>
      <c r="G111" s="296"/>
      <c r="H111" s="295"/>
    </row>
    <row r="112" spans="1:8">
      <c r="A112" s="300">
        <v>124</v>
      </c>
      <c r="B112" s="299" t="s">
        <v>462</v>
      </c>
      <c r="C112" s="297" t="s">
        <v>463</v>
      </c>
      <c r="D112" s="298" t="s">
        <v>237</v>
      </c>
      <c r="E112" s="297"/>
      <c r="F112" s="297"/>
      <c r="G112" s="296"/>
      <c r="H112" s="295"/>
    </row>
    <row r="113" spans="1:8">
      <c r="A113" s="300">
        <v>236</v>
      </c>
      <c r="B113" s="299" t="s">
        <v>464</v>
      </c>
      <c r="C113" s="297" t="s">
        <v>465</v>
      </c>
      <c r="D113" s="297"/>
      <c r="E113" s="297"/>
      <c r="F113" s="297"/>
      <c r="G113" s="296"/>
      <c r="H113" s="295"/>
    </row>
    <row r="114" spans="1:8">
      <c r="A114" s="300">
        <v>126</v>
      </c>
      <c r="B114" s="299" t="s">
        <v>466</v>
      </c>
      <c r="C114" s="297" t="s">
        <v>467</v>
      </c>
      <c r="D114" s="298" t="s">
        <v>237</v>
      </c>
      <c r="E114" s="297"/>
      <c r="F114" s="297"/>
      <c r="G114" s="296"/>
      <c r="H114" s="295"/>
    </row>
    <row r="115" spans="1:8" ht="27.6">
      <c r="A115" s="300">
        <v>127</v>
      </c>
      <c r="B115" s="299" t="s">
        <v>468</v>
      </c>
      <c r="C115" s="297" t="s">
        <v>469</v>
      </c>
      <c r="D115" s="298" t="s">
        <v>237</v>
      </c>
      <c r="E115" s="297"/>
      <c r="F115" s="297"/>
      <c r="G115" s="296"/>
      <c r="H115" s="295"/>
    </row>
    <row r="116" spans="1:8" ht="27.6">
      <c r="A116" s="300">
        <v>128</v>
      </c>
      <c r="B116" s="299" t="s">
        <v>470</v>
      </c>
      <c r="C116" s="297" t="s">
        <v>471</v>
      </c>
      <c r="D116" s="298" t="s">
        <v>237</v>
      </c>
      <c r="E116" s="297"/>
      <c r="F116" s="297"/>
      <c r="G116" s="296"/>
      <c r="H116" s="295"/>
    </row>
    <row r="117" spans="1:8" ht="27.6">
      <c r="A117" s="300">
        <v>129</v>
      </c>
      <c r="B117" s="299" t="s">
        <v>472</v>
      </c>
      <c r="C117" s="297" t="s">
        <v>473</v>
      </c>
      <c r="D117" s="298" t="s">
        <v>237</v>
      </c>
      <c r="E117" s="297"/>
      <c r="F117" s="297"/>
      <c r="G117" s="296"/>
      <c r="H117" s="295"/>
    </row>
    <row r="118" spans="1:8" ht="27.6">
      <c r="A118" s="300">
        <v>130</v>
      </c>
      <c r="B118" s="299" t="s">
        <v>474</v>
      </c>
      <c r="C118" s="297" t="s">
        <v>475</v>
      </c>
      <c r="D118" s="298" t="s">
        <v>237</v>
      </c>
      <c r="E118" s="297"/>
      <c r="F118" s="297"/>
      <c r="G118" s="296"/>
      <c r="H118" s="295"/>
    </row>
    <row r="119" spans="1:8">
      <c r="A119" s="300">
        <v>131</v>
      </c>
      <c r="B119" s="299" t="s">
        <v>476</v>
      </c>
      <c r="C119" s="301" t="s">
        <v>477</v>
      </c>
      <c r="D119" s="297"/>
      <c r="E119" s="297"/>
      <c r="F119" s="297"/>
      <c r="G119" s="296"/>
      <c r="H119" s="295"/>
    </row>
    <row r="120" spans="1:8">
      <c r="A120" s="300">
        <v>132</v>
      </c>
      <c r="B120" s="299" t="s">
        <v>478</v>
      </c>
      <c r="C120" s="297" t="s">
        <v>479</v>
      </c>
      <c r="D120" s="298" t="s">
        <v>237</v>
      </c>
      <c r="E120" s="297"/>
      <c r="F120" s="297"/>
      <c r="G120" s="296"/>
      <c r="H120" s="295"/>
    </row>
    <row r="121" spans="1:8">
      <c r="A121" s="300">
        <v>237</v>
      </c>
      <c r="B121" s="299" t="s">
        <v>480</v>
      </c>
      <c r="C121" s="297" t="s">
        <v>481</v>
      </c>
      <c r="D121" s="297"/>
      <c r="E121" s="297"/>
      <c r="F121" s="297"/>
      <c r="G121" s="296"/>
      <c r="H121" s="295"/>
    </row>
    <row r="122" spans="1:8">
      <c r="A122" s="300">
        <v>134</v>
      </c>
      <c r="B122" s="299" t="s">
        <v>482</v>
      </c>
      <c r="C122" s="297" t="s">
        <v>483</v>
      </c>
      <c r="D122" s="298" t="s">
        <v>208</v>
      </c>
      <c r="E122" s="297"/>
      <c r="F122" s="297"/>
      <c r="G122" s="296"/>
      <c r="H122" s="295"/>
    </row>
    <row r="123" spans="1:8" ht="27.6">
      <c r="A123" s="300">
        <v>135</v>
      </c>
      <c r="B123" s="299" t="s">
        <v>484</v>
      </c>
      <c r="C123" s="297" t="s">
        <v>485</v>
      </c>
      <c r="D123" s="298" t="s">
        <v>237</v>
      </c>
      <c r="E123" s="297"/>
      <c r="F123" s="297"/>
      <c r="G123" s="296"/>
      <c r="H123" s="295"/>
    </row>
    <row r="124" spans="1:8" ht="27.6">
      <c r="A124" s="300">
        <v>136</v>
      </c>
      <c r="B124" s="299" t="s">
        <v>486</v>
      </c>
      <c r="C124" s="297" t="s">
        <v>487</v>
      </c>
      <c r="D124" s="298" t="s">
        <v>237</v>
      </c>
      <c r="E124" s="297"/>
      <c r="F124" s="297"/>
      <c r="G124" s="296"/>
      <c r="H124" s="295"/>
    </row>
    <row r="125" spans="1:8" ht="27.6">
      <c r="A125" s="300">
        <v>137</v>
      </c>
      <c r="B125" s="299" t="s">
        <v>488</v>
      </c>
      <c r="C125" s="297" t="s">
        <v>489</v>
      </c>
      <c r="D125" s="298" t="s">
        <v>237</v>
      </c>
      <c r="E125" s="297"/>
      <c r="F125" s="297"/>
      <c r="G125" s="296"/>
      <c r="H125" s="295"/>
    </row>
    <row r="126" spans="1:8" ht="27.6">
      <c r="A126" s="300">
        <v>138</v>
      </c>
      <c r="B126" s="299" t="s">
        <v>490</v>
      </c>
      <c r="C126" s="297" t="s">
        <v>491</v>
      </c>
      <c r="D126" s="298" t="s">
        <v>237</v>
      </c>
      <c r="E126" s="297"/>
      <c r="F126" s="297"/>
      <c r="G126" s="296"/>
      <c r="H126" s="295"/>
    </row>
    <row r="127" spans="1:8" ht="41.4">
      <c r="A127" s="300">
        <v>139</v>
      </c>
      <c r="B127" s="299" t="s">
        <v>492</v>
      </c>
      <c r="C127" s="297" t="s">
        <v>493</v>
      </c>
      <c r="D127" s="298" t="s">
        <v>237</v>
      </c>
      <c r="E127" s="297"/>
      <c r="F127" s="297"/>
      <c r="G127" s="296"/>
      <c r="H127" s="295"/>
    </row>
    <row r="128" spans="1:8">
      <c r="A128" s="300">
        <v>140</v>
      </c>
      <c r="B128" s="299" t="s">
        <v>494</v>
      </c>
      <c r="C128" s="301" t="s">
        <v>495</v>
      </c>
      <c r="D128" s="297"/>
      <c r="E128" s="297"/>
      <c r="F128" s="297"/>
      <c r="G128" s="296"/>
      <c r="H128" s="295"/>
    </row>
    <row r="129" spans="1:8" ht="27.6">
      <c r="A129" s="300">
        <v>141</v>
      </c>
      <c r="B129" s="299" t="s">
        <v>496</v>
      </c>
      <c r="C129" s="297" t="s">
        <v>497</v>
      </c>
      <c r="D129" s="298" t="s">
        <v>237</v>
      </c>
      <c r="E129" s="297"/>
      <c r="F129" s="297" t="s">
        <v>252</v>
      </c>
      <c r="G129" s="296"/>
      <c r="H129" s="295"/>
    </row>
    <row r="130" spans="1:8" ht="27.6">
      <c r="A130" s="300">
        <v>142</v>
      </c>
      <c r="B130" s="299" t="s">
        <v>498</v>
      </c>
      <c r="C130" s="297" t="s">
        <v>499</v>
      </c>
      <c r="D130" s="298" t="s">
        <v>237</v>
      </c>
      <c r="E130" s="297"/>
      <c r="F130" s="297"/>
      <c r="G130" s="296"/>
      <c r="H130" s="295"/>
    </row>
    <row r="131" spans="1:8" ht="27.6">
      <c r="A131" s="300">
        <v>143</v>
      </c>
      <c r="B131" s="299" t="s">
        <v>500</v>
      </c>
      <c r="C131" s="297" t="s">
        <v>501</v>
      </c>
      <c r="D131" s="298" t="s">
        <v>237</v>
      </c>
      <c r="E131" s="297"/>
      <c r="F131" s="297"/>
      <c r="G131" s="296"/>
      <c r="H131" s="295"/>
    </row>
    <row r="132" spans="1:8">
      <c r="A132" s="300">
        <v>144</v>
      </c>
      <c r="B132" s="299" t="s">
        <v>502</v>
      </c>
      <c r="C132" s="297" t="s">
        <v>503</v>
      </c>
      <c r="D132" s="298" t="s">
        <v>237</v>
      </c>
      <c r="E132" s="297"/>
      <c r="F132" s="297"/>
      <c r="G132" s="296"/>
      <c r="H132" s="295"/>
    </row>
    <row r="133" spans="1:8" ht="41.4">
      <c r="A133" s="300">
        <v>145</v>
      </c>
      <c r="B133" s="299" t="s">
        <v>504</v>
      </c>
      <c r="C133" s="297" t="s">
        <v>505</v>
      </c>
      <c r="D133" s="298" t="s">
        <v>506</v>
      </c>
      <c r="E133" s="297"/>
      <c r="F133" s="297"/>
      <c r="G133" s="296"/>
      <c r="H133" s="295"/>
    </row>
    <row r="134" spans="1:8" ht="55.2">
      <c r="A134" s="300">
        <v>146</v>
      </c>
      <c r="B134" s="299" t="s">
        <v>507</v>
      </c>
      <c r="C134" s="297" t="s">
        <v>508</v>
      </c>
      <c r="D134" s="298" t="s">
        <v>237</v>
      </c>
      <c r="E134" s="297"/>
      <c r="F134" s="297" t="s">
        <v>280</v>
      </c>
      <c r="G134" s="296"/>
      <c r="H134" s="295"/>
    </row>
    <row r="135" spans="1:8">
      <c r="A135" s="300">
        <v>147</v>
      </c>
      <c r="B135" s="299" t="s">
        <v>509</v>
      </c>
      <c r="C135" s="297" t="s">
        <v>510</v>
      </c>
      <c r="D135" s="298" t="s">
        <v>237</v>
      </c>
      <c r="E135" s="297"/>
      <c r="F135" s="297"/>
      <c r="G135" s="296"/>
      <c r="H135" s="295"/>
    </row>
    <row r="136" spans="1:8" ht="27.6">
      <c r="A136" s="300">
        <v>148</v>
      </c>
      <c r="B136" s="299" t="s">
        <v>511</v>
      </c>
      <c r="C136" s="297" t="s">
        <v>512</v>
      </c>
      <c r="D136" s="298" t="s">
        <v>208</v>
      </c>
      <c r="E136" s="297"/>
      <c r="F136" s="297"/>
      <c r="G136" s="296"/>
      <c r="H136" s="295"/>
    </row>
    <row r="137" spans="1:8" ht="27.6">
      <c r="A137" s="300">
        <v>149</v>
      </c>
      <c r="B137" s="299" t="s">
        <v>513</v>
      </c>
      <c r="C137" s="297" t="s">
        <v>514</v>
      </c>
      <c r="D137" s="298" t="s">
        <v>237</v>
      </c>
      <c r="E137" s="297"/>
      <c r="F137" s="297"/>
      <c r="G137" s="296"/>
      <c r="H137" s="295"/>
    </row>
    <row r="138" spans="1:8" ht="41.4">
      <c r="A138" s="300">
        <v>150</v>
      </c>
      <c r="B138" s="299" t="s">
        <v>515</v>
      </c>
      <c r="C138" s="297" t="s">
        <v>516</v>
      </c>
      <c r="D138" s="298" t="s">
        <v>237</v>
      </c>
      <c r="E138" s="297"/>
      <c r="F138" s="297"/>
      <c r="G138" s="296"/>
      <c r="H138" s="295"/>
    </row>
    <row r="139" spans="1:8">
      <c r="A139" s="300">
        <v>151</v>
      </c>
      <c r="B139" s="299" t="s">
        <v>517</v>
      </c>
      <c r="C139" s="301" t="s">
        <v>518</v>
      </c>
      <c r="D139" s="297"/>
      <c r="E139" s="297"/>
      <c r="F139" s="297"/>
      <c r="G139" s="296"/>
      <c r="H139" s="295"/>
    </row>
    <row r="140" spans="1:8" ht="41.4">
      <c r="A140" s="300">
        <v>152</v>
      </c>
      <c r="B140" s="299" t="s">
        <v>519</v>
      </c>
      <c r="C140" s="297" t="s">
        <v>520</v>
      </c>
      <c r="D140" s="298" t="s">
        <v>237</v>
      </c>
      <c r="E140" s="297"/>
      <c r="F140" s="297"/>
      <c r="G140" s="296"/>
      <c r="H140" s="295"/>
    </row>
    <row r="141" spans="1:8">
      <c r="A141" s="300">
        <v>153</v>
      </c>
      <c r="B141" s="299" t="s">
        <v>521</v>
      </c>
      <c r="C141" s="301" t="s">
        <v>522</v>
      </c>
      <c r="D141" s="297"/>
      <c r="E141" s="297"/>
      <c r="F141" s="297"/>
      <c r="G141" s="296"/>
      <c r="H141" s="295"/>
    </row>
    <row r="142" spans="1:8">
      <c r="A142" s="300">
        <v>154</v>
      </c>
      <c r="B142" s="299" t="s">
        <v>523</v>
      </c>
      <c r="C142" s="301" t="s">
        <v>524</v>
      </c>
      <c r="D142" s="297"/>
      <c r="E142" s="297"/>
      <c r="F142" s="297"/>
      <c r="G142" s="296"/>
      <c r="H142" s="295"/>
    </row>
    <row r="143" spans="1:8" ht="55.2">
      <c r="A143" s="300">
        <v>239</v>
      </c>
      <c r="B143" s="299" t="s">
        <v>525</v>
      </c>
      <c r="C143" s="297" t="s">
        <v>526</v>
      </c>
      <c r="D143" s="298" t="s">
        <v>208</v>
      </c>
      <c r="E143" s="297"/>
      <c r="F143" s="297" t="s">
        <v>527</v>
      </c>
      <c r="G143" s="296"/>
      <c r="H143" s="295"/>
    </row>
    <row r="144" spans="1:8" ht="69">
      <c r="A144" s="300">
        <v>240</v>
      </c>
      <c r="B144" s="299" t="s">
        <v>528</v>
      </c>
      <c r="C144" s="297" t="s">
        <v>529</v>
      </c>
      <c r="D144" s="298" t="s">
        <v>208</v>
      </c>
      <c r="E144" s="297"/>
      <c r="F144" s="297" t="s">
        <v>530</v>
      </c>
      <c r="G144" s="296"/>
      <c r="H144" s="295"/>
    </row>
    <row r="145" spans="1:8">
      <c r="A145" s="300">
        <v>157</v>
      </c>
      <c r="B145" s="299" t="s">
        <v>531</v>
      </c>
      <c r="C145" s="301" t="s">
        <v>532</v>
      </c>
      <c r="D145" s="297"/>
      <c r="E145" s="297"/>
      <c r="F145" s="297"/>
      <c r="G145" s="296"/>
      <c r="H145" s="295"/>
    </row>
    <row r="146" spans="1:8">
      <c r="A146" s="300">
        <v>158</v>
      </c>
      <c r="B146" s="299" t="s">
        <v>533</v>
      </c>
      <c r="C146" s="297" t="s">
        <v>534</v>
      </c>
      <c r="D146" s="298" t="s">
        <v>237</v>
      </c>
      <c r="E146" s="297"/>
      <c r="F146" s="297" t="s">
        <v>527</v>
      </c>
      <c r="G146" s="296"/>
      <c r="H146" s="295"/>
    </row>
    <row r="147" spans="1:8">
      <c r="A147" s="300">
        <v>159</v>
      </c>
      <c r="B147" s="299" t="s">
        <v>535</v>
      </c>
      <c r="C147" s="301" t="s">
        <v>536</v>
      </c>
      <c r="D147" s="297"/>
      <c r="E147" s="297"/>
      <c r="F147" s="297"/>
      <c r="G147" s="296"/>
      <c r="H147" s="295"/>
    </row>
    <row r="148" spans="1:8">
      <c r="A148" s="300">
        <v>160</v>
      </c>
      <c r="B148" s="299" t="s">
        <v>537</v>
      </c>
      <c r="C148" s="297" t="s">
        <v>538</v>
      </c>
      <c r="D148" s="298" t="s">
        <v>237</v>
      </c>
      <c r="E148" s="297"/>
      <c r="F148" s="297" t="s">
        <v>527</v>
      </c>
      <c r="G148" s="296"/>
      <c r="H148" s="295"/>
    </row>
    <row r="149" spans="1:8">
      <c r="A149" s="300">
        <v>161</v>
      </c>
      <c r="B149" s="299" t="s">
        <v>539</v>
      </c>
      <c r="C149" s="301" t="s">
        <v>540</v>
      </c>
      <c r="D149" s="297"/>
      <c r="E149" s="297"/>
      <c r="F149" s="297"/>
      <c r="G149" s="296"/>
      <c r="H149" s="295"/>
    </row>
    <row r="150" spans="1:8">
      <c r="A150" s="300">
        <v>162</v>
      </c>
      <c r="B150" s="299" t="s">
        <v>541</v>
      </c>
      <c r="C150" s="297" t="s">
        <v>542</v>
      </c>
      <c r="D150" s="298" t="s">
        <v>237</v>
      </c>
      <c r="E150" s="297"/>
      <c r="F150" s="297" t="s">
        <v>527</v>
      </c>
      <c r="G150" s="296"/>
      <c r="H150" s="295"/>
    </row>
    <row r="151" spans="1:8">
      <c r="A151" s="300">
        <v>163</v>
      </c>
      <c r="B151" s="299" t="s">
        <v>543</v>
      </c>
      <c r="C151" s="301" t="s">
        <v>544</v>
      </c>
      <c r="D151" s="297"/>
      <c r="E151" s="297"/>
      <c r="F151" s="297"/>
      <c r="G151" s="296"/>
      <c r="H151" s="295"/>
    </row>
    <row r="152" spans="1:8">
      <c r="A152" s="300">
        <v>164</v>
      </c>
      <c r="B152" s="299" t="s">
        <v>545</v>
      </c>
      <c r="C152" s="297" t="s">
        <v>546</v>
      </c>
      <c r="D152" s="298" t="s">
        <v>237</v>
      </c>
      <c r="E152" s="297"/>
      <c r="F152" s="297" t="s">
        <v>527</v>
      </c>
      <c r="G152" s="296"/>
      <c r="H152" s="295"/>
    </row>
    <row r="153" spans="1:8">
      <c r="A153" s="300">
        <v>165</v>
      </c>
      <c r="B153" s="299" t="s">
        <v>547</v>
      </c>
      <c r="C153" s="301" t="s">
        <v>548</v>
      </c>
      <c r="D153" s="297"/>
      <c r="E153" s="297"/>
      <c r="F153" s="297"/>
      <c r="G153" s="296"/>
      <c r="H153" s="295"/>
    </row>
    <row r="154" spans="1:8">
      <c r="A154" s="300">
        <v>166</v>
      </c>
      <c r="B154" s="299" t="s">
        <v>549</v>
      </c>
      <c r="C154" s="297" t="s">
        <v>550</v>
      </c>
      <c r="D154" s="298" t="s">
        <v>237</v>
      </c>
      <c r="E154" s="297"/>
      <c r="F154" s="297" t="s">
        <v>527</v>
      </c>
      <c r="G154" s="296"/>
      <c r="H154" s="295"/>
    </row>
    <row r="155" spans="1:8">
      <c r="A155" s="300">
        <v>167</v>
      </c>
      <c r="B155" s="299" t="s">
        <v>551</v>
      </c>
      <c r="C155" s="301" t="s">
        <v>552</v>
      </c>
      <c r="D155" s="297"/>
      <c r="E155" s="297"/>
      <c r="F155" s="297"/>
      <c r="G155" s="296"/>
      <c r="H155" s="295"/>
    </row>
    <row r="156" spans="1:8">
      <c r="A156" s="300">
        <v>168</v>
      </c>
      <c r="B156" s="299" t="s">
        <v>553</v>
      </c>
      <c r="C156" s="297" t="s">
        <v>554</v>
      </c>
      <c r="D156" s="298" t="s">
        <v>237</v>
      </c>
      <c r="E156" s="297"/>
      <c r="F156" s="297" t="s">
        <v>527</v>
      </c>
      <c r="G156" s="296"/>
      <c r="H156" s="295"/>
    </row>
    <row r="157" spans="1:8">
      <c r="A157" s="300">
        <v>169</v>
      </c>
      <c r="B157" s="299" t="s">
        <v>555</v>
      </c>
      <c r="C157" s="301" t="s">
        <v>556</v>
      </c>
      <c r="D157" s="297"/>
      <c r="E157" s="297"/>
      <c r="F157" s="297"/>
      <c r="G157" s="296"/>
      <c r="H157" s="295"/>
    </row>
    <row r="158" spans="1:8" ht="27.6">
      <c r="A158" s="300">
        <v>170</v>
      </c>
      <c r="B158" s="299" t="s">
        <v>557</v>
      </c>
      <c r="C158" s="297" t="s">
        <v>558</v>
      </c>
      <c r="D158" s="298" t="s">
        <v>208</v>
      </c>
      <c r="E158" s="297"/>
      <c r="F158" s="297" t="s">
        <v>527</v>
      </c>
      <c r="G158" s="296"/>
      <c r="H158" s="295"/>
    </row>
    <row r="159" spans="1:8" ht="27.6">
      <c r="A159" s="300">
        <v>171</v>
      </c>
      <c r="B159" s="299" t="s">
        <v>559</v>
      </c>
      <c r="C159" s="297" t="s">
        <v>560</v>
      </c>
      <c r="D159" s="298" t="s">
        <v>237</v>
      </c>
      <c r="E159" s="297"/>
      <c r="F159" s="297" t="s">
        <v>527</v>
      </c>
      <c r="G159" s="296"/>
      <c r="H159" s="295"/>
    </row>
    <row r="160" spans="1:8" ht="27.6">
      <c r="A160" s="300">
        <v>172</v>
      </c>
      <c r="B160" s="299" t="s">
        <v>561</v>
      </c>
      <c r="C160" s="297" t="s">
        <v>562</v>
      </c>
      <c r="D160" s="298" t="s">
        <v>237</v>
      </c>
      <c r="E160" s="297"/>
      <c r="F160" s="297" t="s">
        <v>527</v>
      </c>
      <c r="G160" s="296"/>
      <c r="H160" s="295"/>
    </row>
    <row r="161" spans="1:8">
      <c r="A161" s="300">
        <v>173</v>
      </c>
      <c r="B161" s="299" t="s">
        <v>563</v>
      </c>
      <c r="C161" s="301" t="s">
        <v>564</v>
      </c>
      <c r="D161" s="297"/>
      <c r="E161" s="297"/>
      <c r="F161" s="297"/>
      <c r="G161" s="296"/>
      <c r="H161" s="295"/>
    </row>
    <row r="162" spans="1:8" ht="27.6">
      <c r="A162" s="300">
        <v>174</v>
      </c>
      <c r="B162" s="299" t="s">
        <v>565</v>
      </c>
      <c r="C162" s="297" t="s">
        <v>566</v>
      </c>
      <c r="D162" s="298" t="s">
        <v>237</v>
      </c>
      <c r="E162" s="297"/>
      <c r="F162" s="297"/>
      <c r="G162" s="296"/>
      <c r="H162" s="295"/>
    </row>
    <row r="163" spans="1:8" ht="27.6">
      <c r="A163" s="300">
        <v>175</v>
      </c>
      <c r="B163" s="299" t="s">
        <v>567</v>
      </c>
      <c r="C163" s="297" t="s">
        <v>568</v>
      </c>
      <c r="D163" s="298" t="s">
        <v>237</v>
      </c>
      <c r="E163" s="297"/>
      <c r="F163" s="297" t="s">
        <v>262</v>
      </c>
      <c r="G163" s="296"/>
      <c r="H163" s="295"/>
    </row>
    <row r="164" spans="1:8" ht="41.4">
      <c r="A164" s="300">
        <v>176</v>
      </c>
      <c r="B164" s="299" t="s">
        <v>569</v>
      </c>
      <c r="C164" s="297" t="s">
        <v>570</v>
      </c>
      <c r="D164" s="298" t="s">
        <v>237</v>
      </c>
      <c r="E164" s="297"/>
      <c r="F164" s="297" t="s">
        <v>257</v>
      </c>
      <c r="G164" s="296"/>
      <c r="H164" s="295"/>
    </row>
    <row r="165" spans="1:8" ht="27.6">
      <c r="A165" s="300">
        <v>177</v>
      </c>
      <c r="B165" s="299" t="s">
        <v>571</v>
      </c>
      <c r="C165" s="297" t="s">
        <v>572</v>
      </c>
      <c r="D165" s="298" t="s">
        <v>237</v>
      </c>
      <c r="E165" s="297"/>
      <c r="F165" s="297" t="s">
        <v>262</v>
      </c>
      <c r="G165" s="296"/>
      <c r="H165" s="295"/>
    </row>
    <row r="166" spans="1:8" ht="27.6">
      <c r="A166" s="300">
        <v>178</v>
      </c>
      <c r="B166" s="299" t="s">
        <v>573</v>
      </c>
      <c r="C166" s="297" t="s">
        <v>574</v>
      </c>
      <c r="D166" s="298" t="s">
        <v>237</v>
      </c>
      <c r="E166" s="297"/>
      <c r="F166" s="297" t="s">
        <v>575</v>
      </c>
      <c r="G166" s="296"/>
      <c r="H166" s="295"/>
    </row>
    <row r="167" spans="1:8" ht="27.6">
      <c r="A167" s="300">
        <v>179</v>
      </c>
      <c r="B167" s="299" t="s">
        <v>576</v>
      </c>
      <c r="C167" s="297" t="s">
        <v>577</v>
      </c>
      <c r="D167" s="298" t="s">
        <v>237</v>
      </c>
      <c r="E167" s="297"/>
      <c r="F167" s="297"/>
      <c r="G167" s="296"/>
      <c r="H167" s="295"/>
    </row>
    <row r="168" spans="1:8">
      <c r="A168" s="300">
        <v>180</v>
      </c>
      <c r="B168" s="299" t="s">
        <v>578</v>
      </c>
      <c r="C168" s="301" t="s">
        <v>579</v>
      </c>
      <c r="D168" s="297"/>
      <c r="E168" s="297"/>
      <c r="F168" s="297"/>
      <c r="G168" s="296"/>
      <c r="H168" s="295"/>
    </row>
    <row r="169" spans="1:8">
      <c r="A169" s="300">
        <v>181</v>
      </c>
      <c r="B169" s="299" t="s">
        <v>580</v>
      </c>
      <c r="C169" s="297" t="s">
        <v>581</v>
      </c>
      <c r="D169" s="298" t="s">
        <v>237</v>
      </c>
      <c r="E169" s="297"/>
      <c r="F169" s="297"/>
      <c r="G169" s="296"/>
      <c r="H169" s="295"/>
    </row>
    <row r="170" spans="1:8" ht="41.4">
      <c r="A170" s="300">
        <v>182</v>
      </c>
      <c r="B170" s="299" t="s">
        <v>582</v>
      </c>
      <c r="C170" s="297" t="s">
        <v>583</v>
      </c>
      <c r="D170" s="298" t="s">
        <v>237</v>
      </c>
      <c r="E170" s="297"/>
      <c r="F170" s="297"/>
      <c r="G170" s="296"/>
      <c r="H170" s="295"/>
    </row>
    <row r="171" spans="1:8">
      <c r="A171" s="300">
        <v>183</v>
      </c>
      <c r="B171" s="299" t="s">
        <v>584</v>
      </c>
      <c r="C171" s="301" t="s">
        <v>585</v>
      </c>
      <c r="D171" s="297"/>
      <c r="E171" s="297"/>
      <c r="F171" s="297"/>
      <c r="G171" s="296"/>
      <c r="H171" s="295"/>
    </row>
    <row r="172" spans="1:8" ht="27.6">
      <c r="A172" s="300">
        <v>184</v>
      </c>
      <c r="B172" s="299" t="s">
        <v>586</v>
      </c>
      <c r="C172" s="297" t="s">
        <v>587</v>
      </c>
      <c r="D172" s="298" t="s">
        <v>237</v>
      </c>
      <c r="E172" s="297"/>
      <c r="F172" s="297"/>
      <c r="G172" s="296"/>
      <c r="H172" s="295"/>
    </row>
    <row r="173" spans="1:8">
      <c r="A173" s="300">
        <v>185</v>
      </c>
      <c r="B173" s="299" t="s">
        <v>588</v>
      </c>
      <c r="C173" s="301" t="s">
        <v>589</v>
      </c>
      <c r="D173" s="297"/>
      <c r="E173" s="297"/>
      <c r="F173" s="297"/>
      <c r="G173" s="296"/>
      <c r="H173" s="295"/>
    </row>
    <row r="174" spans="1:8" ht="27.6">
      <c r="A174" s="300">
        <v>186</v>
      </c>
      <c r="B174" s="299" t="s">
        <v>590</v>
      </c>
      <c r="C174" s="297" t="s">
        <v>591</v>
      </c>
      <c r="D174" s="298" t="s">
        <v>208</v>
      </c>
      <c r="E174" s="297" t="s">
        <v>592</v>
      </c>
      <c r="F174" s="297"/>
      <c r="G174" s="296"/>
      <c r="H174" s="295"/>
    </row>
    <row r="175" spans="1:8">
      <c r="A175" s="300">
        <v>187</v>
      </c>
      <c r="B175" s="299" t="s">
        <v>593</v>
      </c>
      <c r="C175" s="301" t="s">
        <v>594</v>
      </c>
      <c r="D175" s="297"/>
      <c r="E175" s="297"/>
      <c r="F175" s="297"/>
      <c r="G175" s="296"/>
      <c r="H175" s="295"/>
    </row>
    <row r="176" spans="1:8" ht="27.6">
      <c r="A176" s="300">
        <v>188</v>
      </c>
      <c r="B176" s="299" t="s">
        <v>595</v>
      </c>
      <c r="C176" s="297" t="s">
        <v>596</v>
      </c>
      <c r="D176" s="298" t="s">
        <v>237</v>
      </c>
      <c r="E176" s="297"/>
      <c r="F176" s="297"/>
      <c r="G176" s="296"/>
      <c r="H176" s="295"/>
    </row>
    <row r="177" spans="1:8">
      <c r="A177" s="300">
        <v>189</v>
      </c>
      <c r="B177" s="299" t="s">
        <v>597</v>
      </c>
      <c r="C177" s="301" t="s">
        <v>598</v>
      </c>
      <c r="D177" s="297"/>
      <c r="E177" s="297"/>
      <c r="F177" s="297"/>
      <c r="G177" s="296"/>
      <c r="H177" s="295"/>
    </row>
    <row r="178" spans="1:8">
      <c r="A178" s="300">
        <v>190</v>
      </c>
      <c r="B178" s="299" t="s">
        <v>599</v>
      </c>
      <c r="C178" s="297" t="s">
        <v>600</v>
      </c>
      <c r="D178" s="298" t="s">
        <v>237</v>
      </c>
      <c r="E178" s="297"/>
      <c r="F178" s="297"/>
      <c r="G178" s="296"/>
      <c r="H178" s="295"/>
    </row>
    <row r="179" spans="1:8">
      <c r="A179" s="300">
        <v>191</v>
      </c>
      <c r="B179" s="299" t="s">
        <v>601</v>
      </c>
      <c r="C179" s="301" t="s">
        <v>602</v>
      </c>
      <c r="D179" s="297"/>
      <c r="E179" s="297"/>
      <c r="F179" s="297"/>
      <c r="G179" s="296"/>
      <c r="H179" s="295"/>
    </row>
    <row r="180" spans="1:8" ht="27.6">
      <c r="A180" s="300">
        <v>192</v>
      </c>
      <c r="B180" s="299" t="s">
        <v>603</v>
      </c>
      <c r="C180" s="297" t="s">
        <v>604</v>
      </c>
      <c r="D180" s="298" t="s">
        <v>208</v>
      </c>
      <c r="E180" s="297"/>
      <c r="F180" s="297"/>
      <c r="G180" s="296"/>
      <c r="H180" s="295"/>
    </row>
    <row r="181" spans="1:8">
      <c r="A181" s="300">
        <v>193</v>
      </c>
      <c r="B181" s="299" t="s">
        <v>605</v>
      </c>
      <c r="C181" s="297" t="s">
        <v>606</v>
      </c>
      <c r="D181" s="298" t="s">
        <v>208</v>
      </c>
      <c r="E181" s="297"/>
      <c r="F181" s="297"/>
      <c r="G181" s="296"/>
      <c r="H181" s="295"/>
    </row>
    <row r="182" spans="1:8" ht="27.6">
      <c r="A182" s="300">
        <v>194</v>
      </c>
      <c r="B182" s="299" t="s">
        <v>607</v>
      </c>
      <c r="C182" s="297" t="s">
        <v>608</v>
      </c>
      <c r="D182" s="298" t="s">
        <v>208</v>
      </c>
      <c r="E182" s="297"/>
      <c r="F182" s="297"/>
      <c r="G182" s="296"/>
      <c r="H182" s="295"/>
    </row>
    <row r="183" spans="1:8" ht="27.6">
      <c r="A183" s="300">
        <v>195</v>
      </c>
      <c r="B183" s="299" t="s">
        <v>609</v>
      </c>
      <c r="C183" s="297" t="s">
        <v>610</v>
      </c>
      <c r="D183" s="298" t="s">
        <v>208</v>
      </c>
      <c r="E183" s="297"/>
      <c r="F183" s="297"/>
      <c r="G183" s="296"/>
      <c r="H183" s="295"/>
    </row>
    <row r="184" spans="1:8" ht="28.2" thickBot="1">
      <c r="A184" s="294">
        <v>196</v>
      </c>
      <c r="B184" s="293" t="s">
        <v>611</v>
      </c>
      <c r="C184" s="291" t="s">
        <v>612</v>
      </c>
      <c r="D184" s="292" t="s">
        <v>208</v>
      </c>
      <c r="E184" s="291"/>
      <c r="F184" s="291"/>
      <c r="G184" s="290"/>
      <c r="H184" s="289"/>
    </row>
  </sheetData>
  <sheetProtection algorithmName="SHA-512" hashValue="3n+GWEypg53IWcoihilNwAY222veRBjLk3sXXeuzOq2sK3o6ajiKFeT2/NNKupnJwUqrQ1yxQ56XiK20gbmZBw==" saltValue="gxG1rZ2BjA+QBsxEHyLsdQ==" spinCount="100000" sheet="1" objects="1" scenarios="1" sort="0" autoFilter="0"/>
  <protectedRanges>
    <protectedRange sqref="G2:H184" name="Bereich1"/>
  </protectedRanges>
  <autoFilter ref="A1:H184" xr:uid="{00000000-0001-0000-0000-000000000000}"/>
  <conditionalFormatting sqref="A2:H184">
    <cfRule type="expression" dxfId="44" priority="1">
      <formula>$G2="TEILWEISE ERFÜLLT"</formula>
    </cfRule>
    <cfRule type="expression" dxfId="43" priority="2">
      <formula>$G2="NICHT ERFÜLLT"</formula>
    </cfRule>
    <cfRule type="expression" dxfId="42" priority="3">
      <formula>$G2="ERFÜLLT"</formula>
    </cfRule>
  </conditionalFormatting>
  <dataValidations count="2">
    <dataValidation type="custom" allowBlank="1" showInputMessage="1" showErrorMessage="1" sqref="H2:H184" xr:uid="{801B1A5D-753D-403E-B70B-4583BF14B612}">
      <formula1>G2&lt;&gt;"ERFÜLLT"</formula1>
    </dataValidation>
    <dataValidation type="list" allowBlank="1" showInputMessage="1" showErrorMessage="1" sqref="G2:G184" xr:uid="{E12AEB01-AB7C-47E6-8BD2-991D57E4786D}">
      <formula1>"ERFÜLLT,TEILWEISE ERFÜLLT,NICHT ERFÜLLT"</formula1>
    </dataValidation>
  </dataValidations>
  <pageMargins left="0.7" right="0.7" top="0.78740157499999996" bottom="0.78740157499999996" header="0.3" footer="0.3"/>
  <pageSetup paperSize="9" orientation="portrait" r:id="rId1"/>
  <headerFooter>
    <oddHeader>&amp;L&amp;"Arial Black"&amp;10&amp;K76923C&amp;1#</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5DC6E-CFCE-4C26-A277-7A2EF9976C82}">
  <dimension ref="A1:N112"/>
  <sheetViews>
    <sheetView topLeftCell="D64" workbookViewId="0">
      <selection activeCell="C55" sqref="C55"/>
    </sheetView>
  </sheetViews>
  <sheetFormatPr defaultRowHeight="13.2"/>
  <cols>
    <col min="2" max="2" width="6" bestFit="1" customWidth="1"/>
    <col min="3" max="3" width="160.5546875" customWidth="1"/>
    <col min="8" max="8" width="29" customWidth="1"/>
    <col min="9" max="9" width="22.33203125" customWidth="1"/>
    <col min="10" max="10" width="18.33203125" customWidth="1"/>
    <col min="11" max="11" width="22" customWidth="1"/>
    <col min="12" max="12" width="21" customWidth="1"/>
    <col min="13" max="13" width="17.109375" customWidth="1"/>
    <col min="16" max="16" width="27.44140625" bestFit="1" customWidth="1"/>
    <col min="17" max="17" width="22.5546875" customWidth="1"/>
    <col min="18" max="18" width="29.44140625" customWidth="1"/>
    <col min="19" max="19" width="28.33203125" customWidth="1"/>
    <col min="20" max="20" width="26.5546875" customWidth="1"/>
    <col min="21" max="21" width="20" bestFit="1" customWidth="1"/>
  </cols>
  <sheetData>
    <row r="1" spans="1:13" ht="27" thickBot="1">
      <c r="A1" s="282" t="s">
        <v>221</v>
      </c>
      <c r="B1" s="283" t="s">
        <v>222</v>
      </c>
      <c r="C1" s="284" t="s">
        <v>223</v>
      </c>
    </row>
    <row r="2" spans="1:13" ht="13.8">
      <c r="A2" s="300">
        <v>34</v>
      </c>
      <c r="B2" s="299" t="s">
        <v>274</v>
      </c>
      <c r="C2" s="301" t="s">
        <v>275</v>
      </c>
      <c r="D2" s="297"/>
      <c r="E2" s="297"/>
      <c r="F2" s="297"/>
    </row>
    <row r="3" spans="1:13" ht="13.8">
      <c r="A3" s="300">
        <v>35</v>
      </c>
      <c r="B3" s="299" t="s">
        <v>276</v>
      </c>
      <c r="C3" s="297" t="s">
        <v>277</v>
      </c>
      <c r="D3" s="298" t="s">
        <v>237</v>
      </c>
      <c r="E3" s="297"/>
      <c r="F3" s="297"/>
    </row>
    <row r="4" spans="1:13" ht="193.2">
      <c r="A4" s="380">
        <v>36</v>
      </c>
      <c r="B4" s="381" t="s">
        <v>278</v>
      </c>
      <c r="C4" s="379" t="s">
        <v>279</v>
      </c>
      <c r="D4" s="298" t="s">
        <v>208</v>
      </c>
      <c r="E4" s="297"/>
      <c r="F4" s="297" t="s">
        <v>280</v>
      </c>
      <c r="H4" s="382" t="s">
        <v>613</v>
      </c>
    </row>
    <row r="5" spans="1:13" ht="27.6">
      <c r="A5" s="300">
        <v>37</v>
      </c>
      <c r="B5" s="299" t="s">
        <v>281</v>
      </c>
      <c r="C5" s="297" t="s">
        <v>282</v>
      </c>
      <c r="D5" s="298" t="s">
        <v>237</v>
      </c>
      <c r="E5" s="297"/>
      <c r="F5" s="297"/>
    </row>
    <row r="13" spans="1:13">
      <c r="A13" s="285">
        <v>16</v>
      </c>
      <c r="B13" s="66" t="s">
        <v>235</v>
      </c>
      <c r="C13" s="286" t="s">
        <v>236</v>
      </c>
    </row>
    <row r="14" spans="1:13">
      <c r="A14" s="285">
        <v>17</v>
      </c>
      <c r="B14" s="66" t="s">
        <v>238</v>
      </c>
      <c r="C14" s="286" t="s">
        <v>239</v>
      </c>
    </row>
    <row r="16" spans="1:13">
      <c r="A16" s="285">
        <v>19</v>
      </c>
      <c r="B16" s="66" t="s">
        <v>242</v>
      </c>
      <c r="C16" s="286" t="s">
        <v>243</v>
      </c>
      <c r="K16" s="500" t="s">
        <v>77</v>
      </c>
      <c r="L16" s="501"/>
      <c r="M16" s="502"/>
    </row>
    <row r="17" spans="1:14">
      <c r="H17" s="316" t="s">
        <v>614</v>
      </c>
      <c r="I17" s="311" t="s">
        <v>65</v>
      </c>
      <c r="J17" s="311" t="s">
        <v>77</v>
      </c>
      <c r="K17" s="311" t="s">
        <v>108</v>
      </c>
      <c r="L17" s="311" t="s">
        <v>109</v>
      </c>
      <c r="M17" s="311" t="s">
        <v>615</v>
      </c>
    </row>
    <row r="18" spans="1:14" ht="26.4">
      <c r="A18" s="285">
        <v>21</v>
      </c>
      <c r="B18" s="66" t="s">
        <v>246</v>
      </c>
      <c r="C18" s="286" t="s">
        <v>247</v>
      </c>
      <c r="H18" s="317" t="s">
        <v>67</v>
      </c>
      <c r="I18" s="318">
        <v>0.99999000000000005</v>
      </c>
      <c r="J18" s="319">
        <f>1-I18</f>
        <v>9.9999999999544897E-6</v>
      </c>
      <c r="K18" s="312">
        <f t="shared" ref="K18" si="0">J18*hours_per_year</f>
        <v>8.759999999960133E-2</v>
      </c>
      <c r="L18" s="313">
        <f t="shared" ref="L18" si="1">J18*min_per_year</f>
        <v>5.2559999999760798</v>
      </c>
      <c r="M18" s="315">
        <f t="shared" ref="M18" si="2">J18*secs_per_year</f>
        <v>315.35999999856477</v>
      </c>
    </row>
    <row r="19" spans="1:14" ht="13.8">
      <c r="A19" s="300">
        <v>96</v>
      </c>
      <c r="B19" s="299" t="s">
        <v>404</v>
      </c>
      <c r="C19" s="301" t="s">
        <v>405</v>
      </c>
      <c r="H19" s="317" t="s">
        <v>68</v>
      </c>
      <c r="I19" s="318">
        <v>0.99995000000000001</v>
      </c>
      <c r="J19" s="319">
        <f t="shared" ref="J19:J20" si="3">1-I19</f>
        <v>4.9999999999994493E-5</v>
      </c>
      <c r="K19" s="312">
        <f t="shared" ref="K19:K20" si="4">J19*hours_per_year</f>
        <v>0.43799999999995176</v>
      </c>
      <c r="L19" s="313">
        <f t="shared" ref="L19:L20" si="5">J19*min_per_year</f>
        <v>26.279999999997106</v>
      </c>
      <c r="M19" s="315">
        <f t="shared" ref="M19:M20" si="6">J19*secs_per_year</f>
        <v>1576.7999999998262</v>
      </c>
    </row>
    <row r="20" spans="1:14" ht="69">
      <c r="A20" s="300">
        <v>97</v>
      </c>
      <c r="B20" s="299" t="s">
        <v>406</v>
      </c>
      <c r="C20" s="297" t="s">
        <v>407</v>
      </c>
      <c r="H20" s="317" t="s">
        <v>69</v>
      </c>
      <c r="I20" s="318">
        <v>0.99990000000000001</v>
      </c>
      <c r="J20" s="319">
        <f t="shared" si="3"/>
        <v>9.9999999999988987E-5</v>
      </c>
      <c r="K20" s="312">
        <f t="shared" si="4"/>
        <v>0.87599999999990352</v>
      </c>
      <c r="L20" s="313">
        <f t="shared" si="5"/>
        <v>52.559999999994211</v>
      </c>
      <c r="M20" s="315">
        <f t="shared" si="6"/>
        <v>3153.5999999996525</v>
      </c>
    </row>
    <row r="21" spans="1:14" ht="27.6">
      <c r="A21" s="300">
        <v>98</v>
      </c>
      <c r="B21" s="299" t="s">
        <v>408</v>
      </c>
      <c r="C21" s="297" t="s">
        <v>409</v>
      </c>
    </row>
    <row r="24" spans="1:14" ht="27.6">
      <c r="A24" s="300">
        <v>103</v>
      </c>
      <c r="B24" s="299" t="s">
        <v>419</v>
      </c>
      <c r="C24" s="297" t="s">
        <v>420</v>
      </c>
      <c r="I24" s="311" t="s">
        <v>65</v>
      </c>
      <c r="J24" s="311" t="s">
        <v>77</v>
      </c>
      <c r="K24" s="311" t="s">
        <v>108</v>
      </c>
      <c r="L24" s="311" t="s">
        <v>109</v>
      </c>
      <c r="M24" s="311" t="s">
        <v>615</v>
      </c>
    </row>
    <row r="25" spans="1:14" ht="13.8">
      <c r="A25" s="300">
        <v>104</v>
      </c>
      <c r="B25" s="299" t="s">
        <v>421</v>
      </c>
      <c r="C25" s="297" t="s">
        <v>422</v>
      </c>
      <c r="H25" s="320" t="s">
        <v>616</v>
      </c>
      <c r="I25" s="318">
        <v>0.99999000000000005</v>
      </c>
      <c r="J25" s="319">
        <f t="shared" ref="J25" si="7">1-I25</f>
        <v>9.9999999999544897E-6</v>
      </c>
      <c r="K25" s="312">
        <f t="shared" ref="K25" si="8">J25*hours_per_year</f>
        <v>8.759999999960133E-2</v>
      </c>
      <c r="L25" s="313">
        <f t="shared" ref="L25" si="9">J25*min_per_year</f>
        <v>5.2559999999760798</v>
      </c>
      <c r="M25" s="315">
        <f t="shared" ref="M25" si="10">J25*secs_per_year</f>
        <v>315.35999999856477</v>
      </c>
    </row>
    <row r="27" spans="1:14">
      <c r="H27" s="499" t="s">
        <v>617</v>
      </c>
      <c r="I27" s="499"/>
      <c r="J27" s="499"/>
      <c r="K27" s="499"/>
      <c r="L27" s="499"/>
      <c r="M27" s="499"/>
    </row>
    <row r="28" spans="1:14" ht="43.2">
      <c r="I28" s="322" t="s">
        <v>618</v>
      </c>
      <c r="J28" s="322" t="s">
        <v>619</v>
      </c>
      <c r="K28" s="322" t="s">
        <v>620</v>
      </c>
      <c r="L28" s="322" t="s">
        <v>621</v>
      </c>
      <c r="M28" s="322" t="s">
        <v>622</v>
      </c>
    </row>
    <row r="29" spans="1:14">
      <c r="H29" s="321" t="s">
        <v>623</v>
      </c>
      <c r="I29" s="324">
        <v>8.7499999999999994E-2</v>
      </c>
      <c r="J29" s="313">
        <v>0.5</v>
      </c>
      <c r="K29" s="324">
        <v>0.16669999999999999</v>
      </c>
      <c r="L29" s="324">
        <v>3.3300000000000003E-2</v>
      </c>
      <c r="M29" s="325">
        <v>1</v>
      </c>
    </row>
    <row r="30" spans="1:14">
      <c r="H30" s="321" t="s">
        <v>624</v>
      </c>
      <c r="I30" s="324">
        <v>8.7499999999999994E-2</v>
      </c>
      <c r="J30" s="324">
        <v>1.0417000000000001</v>
      </c>
      <c r="K30" s="324">
        <v>0.16669999999999999</v>
      </c>
      <c r="L30" s="324">
        <v>3.3300000000000003E-2</v>
      </c>
      <c r="M30" s="325">
        <v>25</v>
      </c>
    </row>
    <row r="31" spans="1:14">
      <c r="H31" s="321" t="s">
        <v>625</v>
      </c>
      <c r="I31" s="325">
        <v>8760</v>
      </c>
      <c r="J31" s="325">
        <v>438000</v>
      </c>
      <c r="K31" s="325">
        <v>43800</v>
      </c>
      <c r="L31" s="325">
        <v>8760</v>
      </c>
      <c r="M31" s="325">
        <v>8760</v>
      </c>
    </row>
    <row r="32" spans="1:14" ht="13.8">
      <c r="H32" s="321" t="s">
        <v>626</v>
      </c>
      <c r="I32" s="323">
        <v>0.99999000000000005</v>
      </c>
      <c r="J32" s="323">
        <v>0.99999800000000005</v>
      </c>
      <c r="K32" s="323">
        <v>0.999996</v>
      </c>
      <c r="L32" s="323">
        <v>0.999996</v>
      </c>
      <c r="M32" s="323">
        <v>0.99715399999999998</v>
      </c>
      <c r="N32" t="s">
        <v>627</v>
      </c>
    </row>
    <row r="35" spans="1:13" ht="13.8">
      <c r="A35" s="300">
        <v>106</v>
      </c>
      <c r="B35" s="299" t="s">
        <v>425</v>
      </c>
      <c r="C35" s="297" t="s">
        <v>426</v>
      </c>
    </row>
    <row r="36" spans="1:13" ht="13.8">
      <c r="A36" s="300">
        <v>107</v>
      </c>
      <c r="B36" s="299" t="s">
        <v>427</v>
      </c>
      <c r="C36" s="297" t="s">
        <v>428</v>
      </c>
    </row>
    <row r="37" spans="1:13" ht="13.8">
      <c r="A37" s="300">
        <v>108</v>
      </c>
      <c r="B37" s="299" t="s">
        <v>429</v>
      </c>
      <c r="C37" s="297" t="s">
        <v>430</v>
      </c>
    </row>
    <row r="38" spans="1:13" ht="27.6">
      <c r="A38" s="300">
        <v>109</v>
      </c>
      <c r="B38" s="299" t="s">
        <v>431</v>
      </c>
      <c r="C38" s="297" t="s">
        <v>432</v>
      </c>
    </row>
    <row r="39" spans="1:13" ht="27.6">
      <c r="A39" s="300">
        <v>110</v>
      </c>
      <c r="B39" s="299" t="s">
        <v>433</v>
      </c>
      <c r="C39" s="297" t="s">
        <v>434</v>
      </c>
    </row>
    <row r="40" spans="1:13" ht="55.2">
      <c r="A40" s="300">
        <v>111</v>
      </c>
      <c r="B40" s="299" t="s">
        <v>435</v>
      </c>
      <c r="C40" s="297" t="s">
        <v>436</v>
      </c>
    </row>
    <row r="44" spans="1:13" ht="13.8">
      <c r="A44" s="300">
        <v>113</v>
      </c>
      <c r="B44" s="299" t="s">
        <v>439</v>
      </c>
      <c r="C44" s="379" t="s">
        <v>440</v>
      </c>
    </row>
    <row r="45" spans="1:13">
      <c r="H45" s="498" t="s">
        <v>628</v>
      </c>
      <c r="I45" s="499"/>
      <c r="J45" s="499"/>
      <c r="K45" s="499"/>
      <c r="L45" s="499"/>
      <c r="M45" s="499"/>
    </row>
    <row r="46" spans="1:13" ht="43.2">
      <c r="I46" s="322" t="s">
        <v>629</v>
      </c>
      <c r="J46" s="322" t="s">
        <v>630</v>
      </c>
      <c r="K46" s="322" t="s">
        <v>631</v>
      </c>
      <c r="L46" s="322" t="s">
        <v>632</v>
      </c>
      <c r="M46" s="322" t="s">
        <v>633</v>
      </c>
    </row>
    <row r="47" spans="1:13">
      <c r="H47" s="321" t="s">
        <v>623</v>
      </c>
      <c r="I47" s="324">
        <v>0.4375</v>
      </c>
      <c r="J47" s="313">
        <v>0.5</v>
      </c>
      <c r="K47" s="324">
        <v>0.16669999999999999</v>
      </c>
      <c r="L47" s="324">
        <v>3.3300000000000003E-2</v>
      </c>
      <c r="M47" s="325">
        <v>1</v>
      </c>
    </row>
    <row r="48" spans="1:13">
      <c r="H48" s="321" t="s">
        <v>624</v>
      </c>
      <c r="I48" s="324">
        <v>0.4375</v>
      </c>
      <c r="J48" s="324">
        <v>3.75</v>
      </c>
      <c r="K48" s="324">
        <v>0.16669999999999999</v>
      </c>
      <c r="L48" s="324">
        <v>3.3300000000000003E-2</v>
      </c>
      <c r="M48" s="325">
        <v>25</v>
      </c>
    </row>
    <row r="49" spans="1:13">
      <c r="H49" s="321" t="s">
        <v>625</v>
      </c>
      <c r="I49" s="325">
        <v>8760</v>
      </c>
      <c r="J49" s="325">
        <v>175200</v>
      </c>
      <c r="K49" s="325">
        <v>17520</v>
      </c>
      <c r="L49" s="325">
        <v>8760</v>
      </c>
      <c r="M49" s="325">
        <v>8760</v>
      </c>
    </row>
    <row r="50" spans="1:13" ht="13.8">
      <c r="H50" s="321" t="s">
        <v>626</v>
      </c>
      <c r="I50" s="323">
        <v>0.99995000000000001</v>
      </c>
      <c r="J50" s="323">
        <v>0.99997899999999995</v>
      </c>
      <c r="K50" s="323">
        <v>0.99999000000000005</v>
      </c>
      <c r="L50" s="323">
        <v>0.999996</v>
      </c>
      <c r="M50" s="323">
        <v>0.99715399999999998</v>
      </c>
    </row>
    <row r="52" spans="1:13">
      <c r="I52" s="311" t="s">
        <v>65</v>
      </c>
      <c r="J52" s="311" t="s">
        <v>77</v>
      </c>
      <c r="K52" s="311" t="s">
        <v>108</v>
      </c>
      <c r="L52" s="311" t="s">
        <v>109</v>
      </c>
      <c r="M52" s="311" t="s">
        <v>615</v>
      </c>
    </row>
    <row r="53" spans="1:13" ht="13.8">
      <c r="H53" s="326" t="s">
        <v>104</v>
      </c>
      <c r="I53" s="323">
        <v>0.99995000000000001</v>
      </c>
      <c r="J53" s="319">
        <f t="shared" ref="J53" si="11">1-I53</f>
        <v>4.9999999999994493E-5</v>
      </c>
      <c r="K53" s="312">
        <f t="shared" ref="K53" si="12">J53*hours_per_year</f>
        <v>0.43799999999995176</v>
      </c>
      <c r="L53" s="313">
        <f t="shared" ref="L53" si="13">J53*min_per_year</f>
        <v>26.279999999997106</v>
      </c>
      <c r="M53" s="315">
        <f t="shared" ref="M53" si="14">J53*secs_per_year</f>
        <v>1576.7999999998262</v>
      </c>
    </row>
    <row r="55" spans="1:13" ht="13.8">
      <c r="A55" s="300">
        <v>115</v>
      </c>
      <c r="B55" s="299" t="s">
        <v>443</v>
      </c>
      <c r="C55" s="379" t="s">
        <v>444</v>
      </c>
    </row>
    <row r="56" spans="1:13" ht="13.8">
      <c r="A56" s="300">
        <v>116</v>
      </c>
      <c r="B56" s="299" t="s">
        <v>445</v>
      </c>
      <c r="C56" s="297" t="s">
        <v>446</v>
      </c>
    </row>
    <row r="57" spans="1:13" ht="13.8">
      <c r="A57" s="300">
        <v>117</v>
      </c>
      <c r="B57" s="299" t="s">
        <v>447</v>
      </c>
      <c r="C57" s="297" t="s">
        <v>448</v>
      </c>
    </row>
    <row r="58" spans="1:13" ht="27.6">
      <c r="A58" s="300">
        <v>118</v>
      </c>
      <c r="B58" s="299" t="s">
        <v>449</v>
      </c>
      <c r="C58" s="297" t="s">
        <v>450</v>
      </c>
    </row>
    <row r="59" spans="1:13" ht="27.6">
      <c r="A59" s="300">
        <v>119</v>
      </c>
      <c r="B59" s="299" t="s">
        <v>451</v>
      </c>
      <c r="C59" s="297" t="s">
        <v>452</v>
      </c>
    </row>
    <row r="60" spans="1:13" ht="41.4">
      <c r="A60" s="300">
        <v>120</v>
      </c>
      <c r="B60" s="299" t="s">
        <v>453</v>
      </c>
      <c r="C60" s="297" t="s">
        <v>454</v>
      </c>
    </row>
    <row r="64" spans="1:13" ht="13.8">
      <c r="A64" s="300">
        <v>124</v>
      </c>
      <c r="B64" s="299" t="s">
        <v>462</v>
      </c>
      <c r="C64" s="297" t="s">
        <v>463</v>
      </c>
    </row>
    <row r="65" spans="1:13">
      <c r="H65" s="498" t="s">
        <v>634</v>
      </c>
      <c r="I65" s="499"/>
      <c r="J65" s="499"/>
      <c r="K65" s="499"/>
      <c r="L65" s="499"/>
      <c r="M65" s="499"/>
    </row>
    <row r="66" spans="1:13" ht="43.2">
      <c r="I66" s="322" t="s">
        <v>629</v>
      </c>
      <c r="J66" s="322" t="s">
        <v>630</v>
      </c>
      <c r="K66" s="322" t="s">
        <v>631</v>
      </c>
      <c r="L66" s="322" t="s">
        <v>632</v>
      </c>
      <c r="M66" s="322" t="s">
        <v>633</v>
      </c>
    </row>
    <row r="67" spans="1:13">
      <c r="H67" s="321" t="s">
        <v>623</v>
      </c>
      <c r="I67" s="324">
        <v>0.4375</v>
      </c>
      <c r="J67" s="313">
        <v>0.5</v>
      </c>
      <c r="K67" s="324">
        <v>0.16669999999999999</v>
      </c>
      <c r="L67" s="324">
        <v>3.3300000000000003E-2</v>
      </c>
      <c r="M67" s="325">
        <v>1</v>
      </c>
    </row>
    <row r="68" spans="1:13">
      <c r="H68" s="321" t="s">
        <v>624</v>
      </c>
      <c r="I68" s="324">
        <v>0.4375</v>
      </c>
      <c r="J68" s="324">
        <v>3.75</v>
      </c>
      <c r="K68" s="324">
        <v>0.16669999999999999</v>
      </c>
      <c r="L68" s="324">
        <v>3.3300000000000003E-2</v>
      </c>
      <c r="M68" s="325">
        <v>25</v>
      </c>
    </row>
    <row r="69" spans="1:13">
      <c r="H69" s="321" t="s">
        <v>625</v>
      </c>
      <c r="I69" s="325">
        <v>8760</v>
      </c>
      <c r="J69" s="325">
        <v>175200</v>
      </c>
      <c r="K69" s="325">
        <v>17520</v>
      </c>
      <c r="L69" s="325">
        <v>8760</v>
      </c>
      <c r="M69" s="325">
        <v>8760</v>
      </c>
    </row>
    <row r="70" spans="1:13" ht="13.8">
      <c r="H70" s="321" t="s">
        <v>626</v>
      </c>
      <c r="I70" s="323">
        <v>0.99995000000000001</v>
      </c>
      <c r="J70" s="323">
        <v>0.99997899999999995</v>
      </c>
      <c r="K70" s="323">
        <v>0.99999000000000005</v>
      </c>
      <c r="L70" s="323">
        <v>0.999996</v>
      </c>
      <c r="M70" s="323">
        <v>0.99715399999999998</v>
      </c>
    </row>
    <row r="72" spans="1:13" ht="13.8">
      <c r="A72" s="300">
        <v>126</v>
      </c>
      <c r="B72" s="299" t="s">
        <v>466</v>
      </c>
      <c r="C72" s="297" t="s">
        <v>467</v>
      </c>
      <c r="I72" s="311" t="s">
        <v>65</v>
      </c>
      <c r="J72" s="311" t="s">
        <v>77</v>
      </c>
      <c r="K72" s="311" t="s">
        <v>108</v>
      </c>
      <c r="L72" s="311" t="s">
        <v>109</v>
      </c>
      <c r="M72" s="311" t="s">
        <v>615</v>
      </c>
    </row>
    <row r="73" spans="1:13" ht="13.8">
      <c r="A73" s="300">
        <v>127</v>
      </c>
      <c r="B73" s="299" t="s">
        <v>468</v>
      </c>
      <c r="C73" s="297" t="s">
        <v>469</v>
      </c>
      <c r="H73" s="326" t="s">
        <v>635</v>
      </c>
      <c r="I73" s="323">
        <v>0.99995000000000001</v>
      </c>
      <c r="J73" s="319">
        <f t="shared" ref="J73" si="15">1-I73</f>
        <v>4.9999999999994493E-5</v>
      </c>
      <c r="K73" s="312">
        <f t="shared" ref="K73" si="16">J73*hours_per_year</f>
        <v>0.43799999999995176</v>
      </c>
      <c r="L73" s="313">
        <f t="shared" ref="L73" si="17">J73*min_per_year</f>
        <v>26.279999999997106</v>
      </c>
      <c r="M73" s="315">
        <f t="shared" ref="M73" si="18">J73*secs_per_year</f>
        <v>1576.7999999998262</v>
      </c>
    </row>
    <row r="74" spans="1:13" ht="13.8">
      <c r="A74" s="300">
        <v>128</v>
      </c>
      <c r="B74" s="299" t="s">
        <v>470</v>
      </c>
      <c r="C74" s="297" t="s">
        <v>471</v>
      </c>
    </row>
    <row r="75" spans="1:13" ht="27.6">
      <c r="A75" s="300">
        <v>129</v>
      </c>
      <c r="B75" s="299" t="s">
        <v>472</v>
      </c>
      <c r="C75" s="297" t="s">
        <v>473</v>
      </c>
    </row>
    <row r="76" spans="1:13" ht="27.6">
      <c r="A76" s="300">
        <v>130</v>
      </c>
      <c r="B76" s="299" t="s">
        <v>474</v>
      </c>
      <c r="C76" s="297" t="s">
        <v>475</v>
      </c>
    </row>
    <row r="79" spans="1:13" ht="13.8">
      <c r="A79" s="300">
        <v>132</v>
      </c>
      <c r="B79" s="299" t="s">
        <v>478</v>
      </c>
      <c r="C79" s="297" t="s">
        <v>479</v>
      </c>
    </row>
    <row r="80" spans="1:13">
      <c r="H80" s="498" t="s">
        <v>636</v>
      </c>
      <c r="I80" s="499"/>
      <c r="J80" s="499"/>
      <c r="K80" s="499"/>
      <c r="L80" s="499"/>
      <c r="M80" s="499"/>
    </row>
    <row r="81" spans="1:13" ht="43.2">
      <c r="I81" s="322" t="s">
        <v>629</v>
      </c>
      <c r="J81" s="322" t="s">
        <v>630</v>
      </c>
      <c r="K81" s="322" t="s">
        <v>631</v>
      </c>
      <c r="L81" s="322" t="s">
        <v>632</v>
      </c>
      <c r="M81" s="322" t="s">
        <v>633</v>
      </c>
    </row>
    <row r="82" spans="1:13">
      <c r="H82" s="321" t="s">
        <v>623</v>
      </c>
      <c r="I82" s="324">
        <v>0.875</v>
      </c>
      <c r="J82" s="313">
        <v>0.5</v>
      </c>
      <c r="K82" s="324">
        <v>0.16669999999999999</v>
      </c>
      <c r="L82" s="324">
        <v>3.3300000000000003E-2</v>
      </c>
      <c r="M82" s="325">
        <v>1</v>
      </c>
    </row>
    <row r="83" spans="1:13">
      <c r="H83" s="321" t="s">
        <v>624</v>
      </c>
      <c r="I83" s="324">
        <v>0.875</v>
      </c>
      <c r="J83" s="324">
        <v>3.75</v>
      </c>
      <c r="K83" s="324">
        <v>0.16669999999999999</v>
      </c>
      <c r="L83" s="324">
        <v>3.3300000000000003E-2</v>
      </c>
      <c r="M83" s="325">
        <v>25</v>
      </c>
    </row>
    <row r="84" spans="1:13">
      <c r="H84" s="321" t="s">
        <v>625</v>
      </c>
      <c r="I84" s="325">
        <v>8760</v>
      </c>
      <c r="J84" s="325">
        <v>87600</v>
      </c>
      <c r="K84" s="325">
        <v>17520</v>
      </c>
      <c r="L84" s="325">
        <v>8760</v>
      </c>
      <c r="M84" s="325">
        <v>8760</v>
      </c>
    </row>
    <row r="85" spans="1:13" ht="13.8">
      <c r="H85" s="321" t="s">
        <v>626</v>
      </c>
      <c r="I85" s="323">
        <v>0.99990000000000001</v>
      </c>
      <c r="J85" s="323">
        <v>0.99995699999999998</v>
      </c>
      <c r="K85" s="323">
        <v>0.99999000000000005</v>
      </c>
      <c r="L85" s="323">
        <v>0.999996</v>
      </c>
      <c r="M85" s="323">
        <v>0.99715399999999998</v>
      </c>
    </row>
    <row r="87" spans="1:13">
      <c r="I87" s="311" t="s">
        <v>65</v>
      </c>
      <c r="J87" s="311" t="s">
        <v>77</v>
      </c>
      <c r="K87" s="311" t="s">
        <v>108</v>
      </c>
      <c r="L87" s="311" t="s">
        <v>109</v>
      </c>
      <c r="M87" s="311" t="s">
        <v>615</v>
      </c>
    </row>
    <row r="88" spans="1:13" ht="13.8">
      <c r="H88" s="326" t="s">
        <v>637</v>
      </c>
      <c r="I88" s="323">
        <v>0.99990000000000001</v>
      </c>
      <c r="J88" s="319">
        <f t="shared" ref="J88" si="19">1-I88</f>
        <v>9.9999999999988987E-5</v>
      </c>
      <c r="K88" s="312">
        <f t="shared" ref="K88" si="20">J88*hours_per_year</f>
        <v>0.87599999999990352</v>
      </c>
      <c r="L88" s="313">
        <f t="shared" ref="L88" si="21">J88*min_per_year</f>
        <v>52.559999999994211</v>
      </c>
      <c r="M88" s="315">
        <f t="shared" ref="M88" si="22">J88*secs_per_year</f>
        <v>3153.5999999996525</v>
      </c>
    </row>
    <row r="90" spans="1:13" ht="13.8">
      <c r="A90" s="300">
        <v>134</v>
      </c>
      <c r="B90" s="299" t="s">
        <v>482</v>
      </c>
      <c r="C90" s="297" t="s">
        <v>483</v>
      </c>
    </row>
    <row r="91" spans="1:13" ht="13.8">
      <c r="A91" s="300">
        <v>135</v>
      </c>
      <c r="B91" s="299" t="s">
        <v>484</v>
      </c>
      <c r="C91" s="297" t="s">
        <v>485</v>
      </c>
    </row>
    <row r="92" spans="1:13" ht="13.8">
      <c r="A92" s="300">
        <v>136</v>
      </c>
      <c r="B92" s="299" t="s">
        <v>486</v>
      </c>
      <c r="C92" s="297" t="s">
        <v>487</v>
      </c>
    </row>
    <row r="93" spans="1:13" ht="27.6">
      <c r="A93" s="300">
        <v>137</v>
      </c>
      <c r="B93" s="299" t="s">
        <v>488</v>
      </c>
      <c r="C93" s="297" t="s">
        <v>489</v>
      </c>
    </row>
    <row r="94" spans="1:13" ht="27.6">
      <c r="A94" s="300">
        <v>138</v>
      </c>
      <c r="B94" s="299" t="s">
        <v>490</v>
      </c>
      <c r="C94" s="297" t="s">
        <v>491</v>
      </c>
    </row>
    <row r="95" spans="1:13" ht="27.6">
      <c r="A95" s="300">
        <v>139</v>
      </c>
      <c r="B95" s="299" t="s">
        <v>492</v>
      </c>
      <c r="C95" s="297" t="s">
        <v>493</v>
      </c>
    </row>
    <row r="99" spans="1:3" ht="13.8">
      <c r="A99" s="300">
        <v>140</v>
      </c>
      <c r="B99" s="299" t="s">
        <v>494</v>
      </c>
      <c r="C99" s="301" t="s">
        <v>495</v>
      </c>
    </row>
    <row r="100" spans="1:3" ht="13.8">
      <c r="A100" s="300">
        <v>141</v>
      </c>
      <c r="B100" s="299" t="s">
        <v>496</v>
      </c>
      <c r="C100" s="297" t="s">
        <v>497</v>
      </c>
    </row>
    <row r="101" spans="1:3" ht="27.6">
      <c r="A101" s="300">
        <v>142</v>
      </c>
      <c r="B101" s="299" t="s">
        <v>498</v>
      </c>
      <c r="C101" s="297" t="s">
        <v>499</v>
      </c>
    </row>
    <row r="102" spans="1:3" ht="27.6">
      <c r="A102" s="300">
        <v>143</v>
      </c>
      <c r="B102" s="299" t="s">
        <v>500</v>
      </c>
      <c r="C102" s="297" t="s">
        <v>501</v>
      </c>
    </row>
    <row r="103" spans="1:3" ht="13.8">
      <c r="A103" s="300">
        <v>144</v>
      </c>
      <c r="B103" s="299" t="s">
        <v>502</v>
      </c>
      <c r="C103" s="297" t="s">
        <v>503</v>
      </c>
    </row>
    <row r="104" spans="1:3" ht="27.6">
      <c r="A104" s="300">
        <v>145</v>
      </c>
      <c r="B104" s="299" t="s">
        <v>504</v>
      </c>
      <c r="C104" s="297" t="s">
        <v>505</v>
      </c>
    </row>
    <row r="105" spans="1:3" ht="41.4">
      <c r="A105" s="300">
        <v>146</v>
      </c>
      <c r="B105" s="299" t="s">
        <v>507</v>
      </c>
      <c r="C105" s="297" t="s">
        <v>508</v>
      </c>
    </row>
    <row r="106" spans="1:3" ht="13.8">
      <c r="A106" s="300">
        <v>147</v>
      </c>
      <c r="B106" s="299" t="s">
        <v>509</v>
      </c>
      <c r="C106" s="297" t="s">
        <v>510</v>
      </c>
    </row>
    <row r="107" spans="1:3" ht="13.8">
      <c r="A107" s="300">
        <v>148</v>
      </c>
      <c r="B107" s="299" t="s">
        <v>511</v>
      </c>
      <c r="C107" s="297" t="s">
        <v>512</v>
      </c>
    </row>
    <row r="108" spans="1:3" ht="13.8">
      <c r="A108" s="300">
        <v>149</v>
      </c>
      <c r="B108" s="299" t="s">
        <v>513</v>
      </c>
      <c r="C108" s="297" t="s">
        <v>514</v>
      </c>
    </row>
    <row r="109" spans="1:3" ht="27.6">
      <c r="A109" s="300">
        <v>150</v>
      </c>
      <c r="B109" s="299" t="s">
        <v>515</v>
      </c>
      <c r="C109" s="297" t="s">
        <v>516</v>
      </c>
    </row>
    <row r="111" spans="1:3" ht="13.8">
      <c r="A111" s="300">
        <v>151</v>
      </c>
      <c r="B111" s="299" t="s">
        <v>517</v>
      </c>
      <c r="C111" s="301" t="s">
        <v>518</v>
      </c>
    </row>
    <row r="112" spans="1:3" ht="27.6">
      <c r="A112" s="300">
        <v>152</v>
      </c>
      <c r="B112" s="299" t="s">
        <v>519</v>
      </c>
      <c r="C112" s="297" t="s">
        <v>520</v>
      </c>
    </row>
  </sheetData>
  <mergeCells count="5">
    <mergeCell ref="H80:M80"/>
    <mergeCell ref="H27:M27"/>
    <mergeCell ref="K16:M16"/>
    <mergeCell ref="H45:M45"/>
    <mergeCell ref="H65:M65"/>
  </mergeCells>
  <conditionalFormatting sqref="A13:C14">
    <cfRule type="expression" dxfId="41" priority="82">
      <formula>$G13="TEILWEISE ERFÜLLT"</formula>
    </cfRule>
    <cfRule type="expression" dxfId="40" priority="83">
      <formula>$G13="NICHT ERFÜLLT"</formula>
    </cfRule>
    <cfRule type="expression" dxfId="39" priority="84">
      <formula>$G13="ERFÜLLT"</formula>
    </cfRule>
  </conditionalFormatting>
  <conditionalFormatting sqref="A16:C16">
    <cfRule type="expression" dxfId="38" priority="79">
      <formula>$G16="TEILWEISE ERFÜLLT"</formula>
    </cfRule>
    <cfRule type="expression" dxfId="37" priority="80">
      <formula>$G16="NICHT ERFÜLLT"</formula>
    </cfRule>
    <cfRule type="expression" dxfId="36" priority="81">
      <formula>$G16="ERFÜLLT"</formula>
    </cfRule>
  </conditionalFormatting>
  <conditionalFormatting sqref="A18:C21">
    <cfRule type="expression" dxfId="35" priority="43">
      <formula>$G18="TEILWEISE ERFÜLLT"</formula>
    </cfRule>
    <cfRule type="expression" dxfId="34" priority="44">
      <formula>$G18="NICHT ERFÜLLT"</formula>
    </cfRule>
    <cfRule type="expression" dxfId="33" priority="45">
      <formula>$G18="ERFÜLLT"</formula>
    </cfRule>
  </conditionalFormatting>
  <conditionalFormatting sqref="A24:C25">
    <cfRule type="expression" dxfId="32" priority="40">
      <formula>$G24="TEILWEISE ERFÜLLT"</formula>
    </cfRule>
    <cfRule type="expression" dxfId="31" priority="41">
      <formula>$G24="NICHT ERFÜLLT"</formula>
    </cfRule>
    <cfRule type="expression" dxfId="30" priority="42">
      <formula>$G24="ERFÜLLT"</formula>
    </cfRule>
  </conditionalFormatting>
  <conditionalFormatting sqref="A35:C40">
    <cfRule type="expression" dxfId="29" priority="28">
      <formula>$G35="TEILWEISE ERFÜLLT"</formula>
    </cfRule>
    <cfRule type="expression" dxfId="28" priority="29">
      <formula>$G35="NICHT ERFÜLLT"</formula>
    </cfRule>
    <cfRule type="expression" dxfId="27" priority="30">
      <formula>$G35="ERFÜLLT"</formula>
    </cfRule>
  </conditionalFormatting>
  <conditionalFormatting sqref="A44:C44">
    <cfRule type="expression" dxfId="26" priority="34">
      <formula>$G44="TEILWEISE ERFÜLLT"</formula>
    </cfRule>
    <cfRule type="expression" dxfId="25" priority="35">
      <formula>$G44="NICHT ERFÜLLT"</formula>
    </cfRule>
    <cfRule type="expression" dxfId="24" priority="36">
      <formula>$G44="ERFÜLLT"</formula>
    </cfRule>
  </conditionalFormatting>
  <conditionalFormatting sqref="A55:C60">
    <cfRule type="expression" dxfId="23" priority="31">
      <formula>$G55="TEILWEISE ERFÜLLT"</formula>
    </cfRule>
    <cfRule type="expression" dxfId="22" priority="32">
      <formula>$G55="NICHT ERFÜLLT"</formula>
    </cfRule>
    <cfRule type="expression" dxfId="21" priority="33">
      <formula>$G55="ERFÜLLT"</formula>
    </cfRule>
  </conditionalFormatting>
  <conditionalFormatting sqref="A64:C64">
    <cfRule type="expression" dxfId="20" priority="25">
      <formula>$G64="TEILWEISE ERFÜLLT"</formula>
    </cfRule>
    <cfRule type="expression" dxfId="19" priority="26">
      <formula>$G64="NICHT ERFÜLLT"</formula>
    </cfRule>
    <cfRule type="expression" dxfId="18" priority="27">
      <formula>$G64="ERFÜLLT"</formula>
    </cfRule>
  </conditionalFormatting>
  <conditionalFormatting sqref="A72:C76">
    <cfRule type="expression" dxfId="17" priority="22">
      <formula>$G72="TEILWEISE ERFÜLLT"</formula>
    </cfRule>
    <cfRule type="expression" dxfId="16" priority="23">
      <formula>$G72="NICHT ERFÜLLT"</formula>
    </cfRule>
    <cfRule type="expression" dxfId="15" priority="24">
      <formula>$G72="ERFÜLLT"</formula>
    </cfRule>
  </conditionalFormatting>
  <conditionalFormatting sqref="A79:C79">
    <cfRule type="expression" dxfId="14" priority="19">
      <formula>$G79="TEILWEISE ERFÜLLT"</formula>
    </cfRule>
    <cfRule type="expression" dxfId="13" priority="20">
      <formula>$G79="NICHT ERFÜLLT"</formula>
    </cfRule>
    <cfRule type="expression" dxfId="12" priority="21">
      <formula>$G79="ERFÜLLT"</formula>
    </cfRule>
  </conditionalFormatting>
  <conditionalFormatting sqref="A90:C95">
    <cfRule type="expression" dxfId="11" priority="16">
      <formula>$G90="TEILWEISE ERFÜLLT"</formula>
    </cfRule>
    <cfRule type="expression" dxfId="10" priority="17">
      <formula>$G90="NICHT ERFÜLLT"</formula>
    </cfRule>
    <cfRule type="expression" dxfId="9" priority="18">
      <formula>$G90="ERFÜLLT"</formula>
    </cfRule>
  </conditionalFormatting>
  <conditionalFormatting sqref="A99:C109">
    <cfRule type="expression" dxfId="8" priority="7">
      <formula>$G99="TEILWEISE ERFÜLLT"</formula>
    </cfRule>
    <cfRule type="expression" dxfId="7" priority="8">
      <formula>$G99="NICHT ERFÜLLT"</formula>
    </cfRule>
    <cfRule type="expression" dxfId="6" priority="9">
      <formula>$G99="ERFÜLLT"</formula>
    </cfRule>
  </conditionalFormatting>
  <conditionalFormatting sqref="A111:C112">
    <cfRule type="expression" dxfId="5" priority="4">
      <formula>$G111="TEILWEISE ERFÜLLT"</formula>
    </cfRule>
    <cfRule type="expression" dxfId="4" priority="5">
      <formula>$G111="NICHT ERFÜLLT"</formula>
    </cfRule>
    <cfRule type="expression" dxfId="3" priority="6">
      <formula>$G111="ERFÜLLT"</formula>
    </cfRule>
  </conditionalFormatting>
  <conditionalFormatting sqref="A2:F5 H4">
    <cfRule type="expression" dxfId="2" priority="1">
      <formula>$G2="TEILWEISE ERFÜLLT"</formula>
    </cfRule>
    <cfRule type="expression" dxfId="1" priority="2">
      <formula>$G2="NICHT ERFÜLLT"</formula>
    </cfRule>
    <cfRule type="expression" dxfId="0" priority="3">
      <formula>$G2="ERFÜLLT"</formula>
    </cfRule>
  </conditionalFormatting>
  <pageMargins left="0.7" right="0.7" top="0.75" bottom="0.75" header="0.3" footer="0.3"/>
  <pageSetup paperSize="9" orientation="portrait" verticalDpi="0" r:id="rId1"/>
  <headerFooter>
    <oddHeader>&amp;L&amp;"Arial Black"&amp;10&amp;K76923C&amp;1#</oddHeader>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09C99-8596-4B14-828A-1D198368603A}">
  <dimension ref="D7:Y110"/>
  <sheetViews>
    <sheetView showGridLines="0" topLeftCell="L11" zoomScaleNormal="100" workbookViewId="0">
      <selection activeCell="S87" sqref="S87"/>
    </sheetView>
  </sheetViews>
  <sheetFormatPr defaultRowHeight="13.2"/>
  <cols>
    <col min="4" max="4" width="24.5546875" customWidth="1"/>
    <col min="5" max="5" width="11.109375" bestFit="1" customWidth="1"/>
    <col min="6" max="6" width="13.5546875" bestFit="1" customWidth="1"/>
    <col min="9" max="9" width="12.44140625" bestFit="1" customWidth="1"/>
    <col min="15" max="15" width="29.44140625" bestFit="1" customWidth="1"/>
    <col min="16" max="16" width="22.5546875" customWidth="1"/>
    <col min="17" max="17" width="26.109375" customWidth="1"/>
    <col min="18" max="18" width="30" customWidth="1"/>
    <col min="19" max="19" width="30.44140625" customWidth="1"/>
    <col min="20" max="20" width="26.88671875" customWidth="1"/>
    <col min="21" max="21" width="18.5546875" customWidth="1"/>
    <col min="22" max="22" width="28.5546875" customWidth="1"/>
    <col min="24" max="24" width="28.44140625" customWidth="1"/>
    <col min="25" max="25" width="22.5546875" customWidth="1"/>
  </cols>
  <sheetData>
    <row r="7" spans="4:20" ht="14.4">
      <c r="G7" s="512" t="s">
        <v>77</v>
      </c>
      <c r="H7" s="513"/>
      <c r="I7" s="514"/>
      <c r="O7" s="515" t="s">
        <v>638</v>
      </c>
      <c r="P7" s="516"/>
      <c r="Q7" s="516"/>
      <c r="R7" s="516"/>
      <c r="S7" s="516"/>
      <c r="T7" s="517"/>
    </row>
    <row r="8" spans="4:20" ht="28.8">
      <c r="D8" s="327" t="s">
        <v>614</v>
      </c>
      <c r="E8" s="328" t="s">
        <v>65</v>
      </c>
      <c r="F8" s="328" t="s">
        <v>77</v>
      </c>
      <c r="G8" s="328" t="s">
        <v>108</v>
      </c>
      <c r="H8" s="328" t="s">
        <v>109</v>
      </c>
      <c r="I8" s="328" t="s">
        <v>615</v>
      </c>
      <c r="O8" s="343"/>
      <c r="P8" s="347" t="s">
        <v>618</v>
      </c>
      <c r="Q8" s="347" t="s">
        <v>619</v>
      </c>
      <c r="R8" s="347" t="s">
        <v>620</v>
      </c>
      <c r="S8" s="347" t="s">
        <v>621</v>
      </c>
      <c r="T8" s="341" t="s">
        <v>639</v>
      </c>
    </row>
    <row r="9" spans="4:20" ht="13.8">
      <c r="D9" s="317" t="s">
        <v>67</v>
      </c>
      <c r="E9" s="318">
        <v>0.99999000000000005</v>
      </c>
      <c r="F9" s="319">
        <f>1-E9</f>
        <v>9.9999999999544897E-6</v>
      </c>
      <c r="G9" s="312">
        <f t="shared" ref="G9:G11" si="0">F9*hours_per_year</f>
        <v>8.759999999960133E-2</v>
      </c>
      <c r="H9" s="313">
        <f t="shared" ref="H9:H11" si="1">F9*min_per_year</f>
        <v>5.2559999999760798</v>
      </c>
      <c r="I9" s="329">
        <f t="shared" ref="I9:I11" si="2">F9*secs_per_year</f>
        <v>315.35999999856477</v>
      </c>
      <c r="O9" s="321" t="s">
        <v>623</v>
      </c>
      <c r="P9" s="348">
        <v>8.7499999999999994E-2</v>
      </c>
      <c r="Q9" s="348">
        <v>0.5</v>
      </c>
      <c r="R9" s="348">
        <v>0.16669999999999999</v>
      </c>
      <c r="S9" s="348">
        <v>3.3300000000000003E-2</v>
      </c>
      <c r="T9" s="342">
        <v>1</v>
      </c>
    </row>
    <row r="10" spans="4:20" ht="13.8">
      <c r="D10" s="317" t="s">
        <v>68</v>
      </c>
      <c r="E10" s="318">
        <v>0.99995000000000001</v>
      </c>
      <c r="F10" s="319">
        <f t="shared" ref="F10:F11" si="3">1-E10</f>
        <v>4.9999999999994493E-5</v>
      </c>
      <c r="G10" s="312">
        <f t="shared" si="0"/>
        <v>0.43799999999995176</v>
      </c>
      <c r="H10" s="313">
        <f t="shared" si="1"/>
        <v>26.279999999997106</v>
      </c>
      <c r="I10" s="329">
        <f t="shared" si="2"/>
        <v>1576.7999999998262</v>
      </c>
      <c r="O10" s="321" t="s">
        <v>624</v>
      </c>
      <c r="P10" s="348">
        <v>8.7499999999999994E-2</v>
      </c>
      <c r="Q10" s="348">
        <v>1.0417000000000001</v>
      </c>
      <c r="R10" s="348">
        <v>0.16669999999999999</v>
      </c>
      <c r="S10" s="348">
        <v>3.3300000000000003E-2</v>
      </c>
      <c r="T10" s="342">
        <v>25</v>
      </c>
    </row>
    <row r="11" spans="4:20" ht="13.8">
      <c r="D11" s="330" t="s">
        <v>69</v>
      </c>
      <c r="E11" s="331">
        <v>0.99990000000000001</v>
      </c>
      <c r="F11" s="332">
        <f t="shared" si="3"/>
        <v>9.9999999999988987E-5</v>
      </c>
      <c r="G11" s="333">
        <f t="shared" si="0"/>
        <v>0.87599999999990352</v>
      </c>
      <c r="H11" s="334">
        <f t="shared" si="1"/>
        <v>52.559999999994211</v>
      </c>
      <c r="I11" s="335">
        <f t="shared" si="2"/>
        <v>3153.5999999996525</v>
      </c>
      <c r="O11" s="321" t="s">
        <v>625</v>
      </c>
      <c r="P11" s="349">
        <v>8760</v>
      </c>
      <c r="Q11" s="349">
        <v>438000</v>
      </c>
      <c r="R11" s="349">
        <v>43800</v>
      </c>
      <c r="S11" s="349">
        <v>8760</v>
      </c>
      <c r="T11" s="342">
        <v>8760</v>
      </c>
    </row>
    <row r="12" spans="4:20" ht="13.8">
      <c r="O12" s="344" t="s">
        <v>626</v>
      </c>
      <c r="P12" s="345">
        <v>0.99999000000000005</v>
      </c>
      <c r="Q12" s="345">
        <v>0.99999800000000005</v>
      </c>
      <c r="R12" s="345">
        <v>0.999996</v>
      </c>
      <c r="S12" s="345">
        <v>0.999996</v>
      </c>
      <c r="T12" s="346">
        <v>0.99715399999999998</v>
      </c>
    </row>
    <row r="13" spans="4:20">
      <c r="E13" s="328" t="s">
        <v>65</v>
      </c>
      <c r="F13" s="328" t="s">
        <v>77</v>
      </c>
      <c r="G13" s="328" t="s">
        <v>108</v>
      </c>
      <c r="H13" s="328" t="s">
        <v>109</v>
      </c>
      <c r="I13" s="328" t="s">
        <v>615</v>
      </c>
    </row>
    <row r="14" spans="4:20" ht="13.8">
      <c r="D14" s="336" t="s">
        <v>616</v>
      </c>
      <c r="E14" s="337">
        <v>0.99999000000000005</v>
      </c>
      <c r="F14" s="338">
        <f t="shared" ref="F14:F17" si="4">1-E14</f>
        <v>9.9999999999544897E-6</v>
      </c>
      <c r="G14" s="339">
        <f t="shared" ref="G14:G17" si="5">F14*hours_per_year</f>
        <v>8.759999999960133E-2</v>
      </c>
      <c r="H14" s="340">
        <f t="shared" ref="H14:H17" si="6">F14*min_per_year</f>
        <v>5.2559999999760798</v>
      </c>
      <c r="I14" s="314">
        <f t="shared" ref="I14:I17" si="7">F14*secs_per_year</f>
        <v>315.35999999856477</v>
      </c>
    </row>
    <row r="15" spans="4:20" ht="14.4">
      <c r="D15" s="317" t="s">
        <v>104</v>
      </c>
      <c r="E15" s="318">
        <v>0.99995000000000001</v>
      </c>
      <c r="F15" s="319">
        <f t="shared" si="4"/>
        <v>4.9999999999994493E-5</v>
      </c>
      <c r="G15" s="312">
        <f t="shared" si="5"/>
        <v>0.43799999999995176</v>
      </c>
      <c r="H15" s="313">
        <f t="shared" si="6"/>
        <v>26.279999999997106</v>
      </c>
      <c r="I15" s="329">
        <f t="shared" si="7"/>
        <v>1576.7999999998262</v>
      </c>
      <c r="O15" s="515" t="s">
        <v>640</v>
      </c>
      <c r="P15" s="516"/>
      <c r="Q15" s="516"/>
      <c r="R15" s="516"/>
      <c r="S15" s="516"/>
      <c r="T15" s="517"/>
    </row>
    <row r="16" spans="4:20" ht="25.5" customHeight="1">
      <c r="D16" s="317" t="s">
        <v>635</v>
      </c>
      <c r="E16" s="318">
        <v>0.99995000000000001</v>
      </c>
      <c r="F16" s="319">
        <f t="shared" si="4"/>
        <v>4.9999999999994493E-5</v>
      </c>
      <c r="G16" s="312">
        <f t="shared" si="5"/>
        <v>0.43799999999995176</v>
      </c>
      <c r="H16" s="313">
        <f t="shared" si="6"/>
        <v>26.279999999997106</v>
      </c>
      <c r="I16" s="329">
        <f t="shared" si="7"/>
        <v>1576.7999999998262</v>
      </c>
      <c r="O16" s="343"/>
      <c r="P16" s="347" t="s">
        <v>629</v>
      </c>
      <c r="Q16" s="347" t="s">
        <v>630</v>
      </c>
      <c r="R16" s="347" t="s">
        <v>631</v>
      </c>
      <c r="S16" s="347" t="s">
        <v>632</v>
      </c>
      <c r="T16" s="341" t="s">
        <v>641</v>
      </c>
    </row>
    <row r="17" spans="4:20" ht="13.8">
      <c r="D17" s="330" t="s">
        <v>637</v>
      </c>
      <c r="E17" s="331">
        <v>0.99990000000000001</v>
      </c>
      <c r="F17" s="332">
        <f t="shared" si="4"/>
        <v>9.9999999999988987E-5</v>
      </c>
      <c r="G17" s="333">
        <f t="shared" si="5"/>
        <v>0.87599999999990352</v>
      </c>
      <c r="H17" s="334">
        <f t="shared" si="6"/>
        <v>52.559999999994211</v>
      </c>
      <c r="I17" s="335">
        <f t="shared" si="7"/>
        <v>3153.5999999996525</v>
      </c>
      <c r="O17" s="321" t="s">
        <v>623</v>
      </c>
      <c r="P17" s="348">
        <v>0.4375</v>
      </c>
      <c r="Q17" s="348">
        <v>0.5</v>
      </c>
      <c r="R17" s="348">
        <v>0.16669999999999999</v>
      </c>
      <c r="S17" s="348">
        <v>3.3300000000000003E-2</v>
      </c>
      <c r="T17" s="342">
        <v>1</v>
      </c>
    </row>
    <row r="18" spans="4:20">
      <c r="O18" s="321" t="s">
        <v>624</v>
      </c>
      <c r="P18" s="348">
        <v>0.4375</v>
      </c>
      <c r="Q18" s="348">
        <v>3.75</v>
      </c>
      <c r="R18" s="348">
        <v>0.16669999999999999</v>
      </c>
      <c r="S18" s="348">
        <v>3.3300000000000003E-2</v>
      </c>
      <c r="T18" s="342">
        <v>25</v>
      </c>
    </row>
    <row r="19" spans="4:20">
      <c r="O19" s="321" t="s">
        <v>625</v>
      </c>
      <c r="P19" s="349">
        <v>8760</v>
      </c>
      <c r="Q19" s="349">
        <v>175200</v>
      </c>
      <c r="R19" s="349">
        <v>17520</v>
      </c>
      <c r="S19" s="349">
        <v>8760</v>
      </c>
      <c r="T19" s="342">
        <v>8760</v>
      </c>
    </row>
    <row r="20" spans="4:20" ht="13.8">
      <c r="O20" s="344" t="s">
        <v>626</v>
      </c>
      <c r="P20" s="345">
        <v>0.99995000000000001</v>
      </c>
      <c r="Q20" s="345">
        <v>0.99997899999999995</v>
      </c>
      <c r="R20" s="345">
        <v>0.99999000000000005</v>
      </c>
      <c r="S20" s="345">
        <v>0.999996</v>
      </c>
      <c r="T20" s="346">
        <v>0.99715399999999998</v>
      </c>
    </row>
    <row r="23" spans="4:20" ht="14.4">
      <c r="D23" s="49" t="s">
        <v>642</v>
      </c>
      <c r="O23" s="515" t="s">
        <v>643</v>
      </c>
      <c r="P23" s="516"/>
      <c r="Q23" s="516"/>
      <c r="R23" s="516"/>
      <c r="S23" s="516"/>
      <c r="T23" s="517"/>
    </row>
    <row r="24" spans="4:20" ht="28.8">
      <c r="D24" s="49" t="s">
        <v>644</v>
      </c>
      <c r="O24" s="343"/>
      <c r="P24" s="347" t="s">
        <v>645</v>
      </c>
      <c r="Q24" s="347" t="s">
        <v>646</v>
      </c>
      <c r="R24" s="347" t="s">
        <v>647</v>
      </c>
      <c r="S24" s="347" t="s">
        <v>648</v>
      </c>
      <c r="T24" s="341" t="s">
        <v>649</v>
      </c>
    </row>
    <row r="25" spans="4:20">
      <c r="O25" s="321" t="s">
        <v>623</v>
      </c>
      <c r="P25" s="348">
        <v>0.4375</v>
      </c>
      <c r="Q25" s="348">
        <v>0.5</v>
      </c>
      <c r="R25" s="348">
        <v>0.16669999999999999</v>
      </c>
      <c r="S25" s="348">
        <v>3.3300000000000003E-2</v>
      </c>
      <c r="T25" s="342">
        <v>1</v>
      </c>
    </row>
    <row r="26" spans="4:20">
      <c r="D26" t="s">
        <v>650</v>
      </c>
      <c r="O26" s="321" t="s">
        <v>624</v>
      </c>
      <c r="P26" s="348">
        <v>0.4375</v>
      </c>
      <c r="Q26" s="348">
        <v>3.75</v>
      </c>
      <c r="R26" s="348">
        <v>0.16669999999999999</v>
      </c>
      <c r="S26" s="348">
        <v>3.3300000000000003E-2</v>
      </c>
      <c r="T26" s="342">
        <v>25</v>
      </c>
    </row>
    <row r="27" spans="4:20">
      <c r="D27" t="s">
        <v>651</v>
      </c>
      <c r="O27" s="321" t="s">
        <v>625</v>
      </c>
      <c r="P27" s="349">
        <v>8760</v>
      </c>
      <c r="Q27" s="349">
        <v>175200</v>
      </c>
      <c r="R27" s="349">
        <v>17520</v>
      </c>
      <c r="S27" s="349">
        <v>8760</v>
      </c>
      <c r="T27" s="342">
        <v>8760</v>
      </c>
    </row>
    <row r="28" spans="4:20" ht="13.8">
      <c r="D28" t="s">
        <v>652</v>
      </c>
      <c r="O28" s="344" t="s">
        <v>626</v>
      </c>
      <c r="P28" s="345">
        <v>0.99995000000000001</v>
      </c>
      <c r="Q28" s="345">
        <v>0.99997899999999995</v>
      </c>
      <c r="R28" s="345">
        <v>0.99999000000000005</v>
      </c>
      <c r="S28" s="345">
        <v>0.999996</v>
      </c>
      <c r="T28" s="346">
        <v>0.99715399999999998</v>
      </c>
    </row>
    <row r="29" spans="4:20">
      <c r="D29" t="s">
        <v>653</v>
      </c>
    </row>
    <row r="31" spans="4:20" ht="14.4">
      <c r="D31" s="49" t="s">
        <v>654</v>
      </c>
      <c r="O31" s="515" t="s">
        <v>655</v>
      </c>
      <c r="P31" s="516"/>
      <c r="Q31" s="516"/>
      <c r="R31" s="516"/>
      <c r="S31" s="516"/>
      <c r="T31" s="517"/>
    </row>
    <row r="32" spans="4:20" ht="28.8">
      <c r="D32" s="49" t="s">
        <v>656</v>
      </c>
      <c r="O32" s="343"/>
      <c r="P32" s="347" t="s">
        <v>657</v>
      </c>
      <c r="Q32" s="347" t="s">
        <v>658</v>
      </c>
      <c r="R32" s="347" t="s">
        <v>659</v>
      </c>
      <c r="S32" s="347" t="s">
        <v>660</v>
      </c>
      <c r="T32" s="341" t="s">
        <v>661</v>
      </c>
    </row>
    <row r="33" spans="4:25">
      <c r="O33" s="321" t="s">
        <v>623</v>
      </c>
      <c r="P33" s="348">
        <v>0.875</v>
      </c>
      <c r="Q33" s="348">
        <v>0.5</v>
      </c>
      <c r="R33" s="348">
        <v>0.16669999999999999</v>
      </c>
      <c r="S33" s="348">
        <v>3.3300000000000003E-2</v>
      </c>
      <c r="T33" s="342">
        <v>1</v>
      </c>
    </row>
    <row r="34" spans="4:25">
      <c r="O34" s="321" t="s">
        <v>624</v>
      </c>
      <c r="P34" s="348">
        <v>0.875</v>
      </c>
      <c r="Q34" s="348">
        <v>3.75</v>
      </c>
      <c r="R34" s="348">
        <v>0.16669999999999999</v>
      </c>
      <c r="S34" s="348">
        <v>3.3300000000000003E-2</v>
      </c>
      <c r="T34" s="342">
        <v>25</v>
      </c>
    </row>
    <row r="35" spans="4:25">
      <c r="D35" t="s">
        <v>662</v>
      </c>
      <c r="O35" s="321" t="s">
        <v>625</v>
      </c>
      <c r="P35" s="349">
        <v>8760</v>
      </c>
      <c r="Q35" s="349">
        <v>87600</v>
      </c>
      <c r="R35" s="349">
        <v>17520</v>
      </c>
      <c r="S35" s="349">
        <v>8760</v>
      </c>
      <c r="T35" s="342">
        <v>8760</v>
      </c>
    </row>
    <row r="36" spans="4:25" ht="13.8">
      <c r="D36" s="49" t="s">
        <v>663</v>
      </c>
      <c r="O36" s="344" t="s">
        <v>626</v>
      </c>
      <c r="P36" s="345">
        <v>0.99990000000000001</v>
      </c>
      <c r="Q36" s="345">
        <v>0.99995699999999998</v>
      </c>
      <c r="R36" s="345">
        <v>0.99999000000000005</v>
      </c>
      <c r="S36" s="345">
        <v>0.999996</v>
      </c>
      <c r="T36" s="346">
        <v>0.99715399999999998</v>
      </c>
    </row>
    <row r="37" spans="4:25">
      <c r="D37" s="49"/>
    </row>
    <row r="38" spans="4:25">
      <c r="D38" s="49"/>
    </row>
    <row r="42" spans="4:25" ht="14.4">
      <c r="O42" s="511" t="s">
        <v>664</v>
      </c>
      <c r="P42" s="511"/>
      <c r="Q42" s="511"/>
      <c r="R42" s="511"/>
      <c r="S42" s="511"/>
      <c r="T42" s="511"/>
      <c r="U42" s="511"/>
      <c r="V42" s="511"/>
      <c r="W42" s="511"/>
      <c r="X42" s="511"/>
      <c r="Y42" s="511"/>
    </row>
    <row r="45" spans="4:25" ht="14.4">
      <c r="O45" s="350" t="s">
        <v>638</v>
      </c>
      <c r="P45" s="351"/>
      <c r="Q45" s="351"/>
      <c r="R45" s="351"/>
      <c r="S45" s="351"/>
      <c r="T45" s="351"/>
      <c r="U45" s="351"/>
      <c r="V45" s="351"/>
      <c r="W45" s="351"/>
      <c r="X45" s="352"/>
      <c r="Y45" s="352"/>
    </row>
    <row r="46" spans="4:25" ht="45" customHeight="1">
      <c r="O46" s="343"/>
      <c r="P46" s="505" t="s">
        <v>618</v>
      </c>
      <c r="Q46" s="506"/>
      <c r="R46" s="505" t="s">
        <v>619</v>
      </c>
      <c r="S46" s="506"/>
      <c r="T46" s="505" t="s">
        <v>620</v>
      </c>
      <c r="U46" s="506"/>
      <c r="V46" s="505" t="s">
        <v>621</v>
      </c>
      <c r="W46" s="506"/>
      <c r="X46" s="505" t="s">
        <v>622</v>
      </c>
      <c r="Y46" s="506"/>
    </row>
    <row r="47" spans="4:25">
      <c r="O47" s="321" t="s">
        <v>623</v>
      </c>
      <c r="P47" s="348">
        <v>8.7499999999999994E-2</v>
      </c>
      <c r="Q47" s="348" t="s">
        <v>665</v>
      </c>
      <c r="R47" s="348">
        <v>0.5</v>
      </c>
      <c r="S47" s="348" t="s">
        <v>666</v>
      </c>
      <c r="T47" s="348">
        <v>0.16669999999999999</v>
      </c>
      <c r="U47" s="354" t="s">
        <v>138</v>
      </c>
      <c r="V47" s="348">
        <v>3.3300000000000003E-2</v>
      </c>
      <c r="W47" s="353" t="s">
        <v>134</v>
      </c>
      <c r="X47" s="342">
        <v>1</v>
      </c>
      <c r="Y47" s="342" t="s">
        <v>667</v>
      </c>
    </row>
    <row r="48" spans="4:25">
      <c r="O48" s="321" t="s">
        <v>624</v>
      </c>
      <c r="P48" s="348">
        <v>8.7499999999999994E-2</v>
      </c>
      <c r="Q48" s="348" t="s">
        <v>665</v>
      </c>
      <c r="R48" s="348">
        <v>1.0417000000000001</v>
      </c>
      <c r="S48" s="348" t="s">
        <v>668</v>
      </c>
      <c r="T48" s="348">
        <v>0.16669999999999999</v>
      </c>
      <c r="U48" s="354" t="s">
        <v>138</v>
      </c>
      <c r="V48" s="348">
        <v>3.3300000000000003E-2</v>
      </c>
      <c r="W48" s="353" t="s">
        <v>134</v>
      </c>
      <c r="X48" s="342">
        <v>25</v>
      </c>
      <c r="Y48" s="342" t="s">
        <v>669</v>
      </c>
    </row>
    <row r="49" spans="15:25">
      <c r="O49" s="321" t="s">
        <v>625</v>
      </c>
      <c r="P49" s="349">
        <v>8760</v>
      </c>
      <c r="Q49" s="349" t="s">
        <v>670</v>
      </c>
      <c r="R49" s="349">
        <v>438000</v>
      </c>
      <c r="S49" s="349" t="s">
        <v>817</v>
      </c>
      <c r="T49" s="349">
        <v>43800</v>
      </c>
      <c r="U49" s="349" t="s">
        <v>671</v>
      </c>
      <c r="V49" s="349">
        <v>8760</v>
      </c>
      <c r="W49" s="349" t="s">
        <v>670</v>
      </c>
      <c r="X49" s="342">
        <v>8760</v>
      </c>
      <c r="Y49" s="349" t="s">
        <v>670</v>
      </c>
    </row>
    <row r="50" spans="15:25" ht="13.8">
      <c r="O50" s="344" t="s">
        <v>626</v>
      </c>
      <c r="P50" s="345">
        <v>0.99999000000000005</v>
      </c>
      <c r="Q50" s="345"/>
      <c r="R50" s="345">
        <v>0.99999800000000005</v>
      </c>
      <c r="S50" s="345"/>
      <c r="T50" s="345">
        <v>0.999996</v>
      </c>
      <c r="U50" s="345"/>
      <c r="V50" s="345">
        <v>0.999996</v>
      </c>
      <c r="W50" s="345"/>
      <c r="X50" s="346">
        <v>0.99715399999999998</v>
      </c>
      <c r="Y50" s="346"/>
    </row>
    <row r="53" spans="15:25" ht="14.4">
      <c r="O53" s="350" t="s">
        <v>640</v>
      </c>
      <c r="P53" s="351"/>
      <c r="Q53" s="351"/>
      <c r="R53" s="351"/>
      <c r="S53" s="351"/>
      <c r="T53" s="351"/>
      <c r="U53" s="351"/>
      <c r="V53" s="351"/>
      <c r="W53" s="351"/>
      <c r="X53" s="352"/>
      <c r="Y53" s="352"/>
    </row>
    <row r="54" spans="15:25" ht="45" customHeight="1">
      <c r="O54" s="343"/>
      <c r="P54" s="505" t="s">
        <v>629</v>
      </c>
      <c r="Q54" s="506"/>
      <c r="R54" s="505" t="s">
        <v>630</v>
      </c>
      <c r="S54" s="506"/>
      <c r="T54" s="505" t="s">
        <v>631</v>
      </c>
      <c r="U54" s="506"/>
      <c r="V54" s="505" t="s">
        <v>632</v>
      </c>
      <c r="W54" s="506"/>
      <c r="X54" s="505" t="s">
        <v>633</v>
      </c>
      <c r="Y54" s="506"/>
    </row>
    <row r="55" spans="15:25">
      <c r="O55" s="321" t="s">
        <v>623</v>
      </c>
      <c r="P55" s="348">
        <v>0.4375</v>
      </c>
      <c r="Q55" s="348" t="s">
        <v>672</v>
      </c>
      <c r="R55" s="348">
        <v>0.5</v>
      </c>
      <c r="S55" s="348" t="s">
        <v>666</v>
      </c>
      <c r="T55" s="348">
        <v>0.16669999999999999</v>
      </c>
      <c r="U55" s="354" t="s">
        <v>138</v>
      </c>
      <c r="V55" s="348">
        <v>3.3300000000000003E-2</v>
      </c>
      <c r="W55" s="353" t="s">
        <v>134</v>
      </c>
      <c r="X55" s="342">
        <v>1</v>
      </c>
      <c r="Y55" s="342" t="s">
        <v>667</v>
      </c>
    </row>
    <row r="56" spans="15:25">
      <c r="O56" s="321" t="s">
        <v>624</v>
      </c>
      <c r="P56" s="348">
        <v>0.4375</v>
      </c>
      <c r="Q56" s="348" t="s">
        <v>672</v>
      </c>
      <c r="R56" s="348">
        <v>3.75</v>
      </c>
      <c r="S56" s="348" t="s">
        <v>673</v>
      </c>
      <c r="T56" s="348">
        <v>0.16669999999999999</v>
      </c>
      <c r="U56" s="354" t="s">
        <v>138</v>
      </c>
      <c r="V56" s="348">
        <v>3.3300000000000003E-2</v>
      </c>
      <c r="W56" s="353" t="s">
        <v>134</v>
      </c>
      <c r="X56" s="342">
        <v>25</v>
      </c>
      <c r="Y56" s="342" t="s">
        <v>669</v>
      </c>
    </row>
    <row r="57" spans="15:25">
      <c r="O57" s="321" t="s">
        <v>625</v>
      </c>
      <c r="P57" s="349">
        <v>8760</v>
      </c>
      <c r="Q57" s="349" t="s">
        <v>670</v>
      </c>
      <c r="R57" s="349">
        <v>175200</v>
      </c>
      <c r="S57" s="349" t="s">
        <v>674</v>
      </c>
      <c r="T57" s="349">
        <v>17520</v>
      </c>
      <c r="U57" s="349" t="s">
        <v>675</v>
      </c>
      <c r="V57" s="349">
        <v>8760</v>
      </c>
      <c r="W57" s="349" t="s">
        <v>670</v>
      </c>
      <c r="X57" s="342">
        <v>8760</v>
      </c>
      <c r="Y57" s="349" t="s">
        <v>670</v>
      </c>
    </row>
    <row r="58" spans="15:25" ht="13.8">
      <c r="O58" s="344" t="s">
        <v>626</v>
      </c>
      <c r="P58" s="345">
        <v>0.99995000000000001</v>
      </c>
      <c r="Q58" s="345"/>
      <c r="R58" s="345">
        <v>0.99997899999999995</v>
      </c>
      <c r="S58" s="345"/>
      <c r="T58" s="345">
        <v>0.99999000000000005</v>
      </c>
      <c r="U58" s="345"/>
      <c r="V58" s="345">
        <v>0.999996</v>
      </c>
      <c r="W58" s="345"/>
      <c r="X58" s="346">
        <v>0.99715399999999998</v>
      </c>
      <c r="Y58" s="346"/>
    </row>
    <row r="61" spans="15:25" ht="14.4">
      <c r="O61" s="350" t="s">
        <v>643</v>
      </c>
      <c r="P61" s="351"/>
      <c r="Q61" s="351"/>
      <c r="R61" s="351"/>
      <c r="S61" s="351"/>
      <c r="T61" s="351"/>
      <c r="U61" s="351"/>
      <c r="V61" s="351"/>
      <c r="W61" s="351"/>
      <c r="X61" s="352"/>
      <c r="Y61" s="352"/>
    </row>
    <row r="62" spans="15:25" ht="41.25" customHeight="1">
      <c r="O62" s="343"/>
      <c r="P62" s="505" t="s">
        <v>676</v>
      </c>
      <c r="Q62" s="506"/>
      <c r="R62" s="505" t="s">
        <v>677</v>
      </c>
      <c r="S62" s="506"/>
      <c r="T62" s="505" t="s">
        <v>678</v>
      </c>
      <c r="U62" s="506"/>
      <c r="V62" s="505" t="s">
        <v>679</v>
      </c>
      <c r="W62" s="506"/>
      <c r="X62" s="505" t="s">
        <v>633</v>
      </c>
      <c r="Y62" s="506"/>
    </row>
    <row r="63" spans="15:25">
      <c r="O63" s="321" t="s">
        <v>623</v>
      </c>
      <c r="P63" s="348">
        <v>0.4375</v>
      </c>
      <c r="Q63" s="348" t="s">
        <v>672</v>
      </c>
      <c r="R63" s="348">
        <v>0.5</v>
      </c>
      <c r="S63" s="348" t="s">
        <v>666</v>
      </c>
      <c r="T63" s="348">
        <v>0.16669999999999999</v>
      </c>
      <c r="U63" s="354" t="s">
        <v>138</v>
      </c>
      <c r="V63" s="348">
        <v>3.3300000000000003E-2</v>
      </c>
      <c r="W63" s="353" t="s">
        <v>134</v>
      </c>
      <c r="X63" s="342">
        <v>1</v>
      </c>
      <c r="Y63" s="342" t="s">
        <v>667</v>
      </c>
    </row>
    <row r="64" spans="15:25">
      <c r="O64" s="321" t="s">
        <v>624</v>
      </c>
      <c r="P64" s="348">
        <v>0.4375</v>
      </c>
      <c r="Q64" s="348" t="s">
        <v>672</v>
      </c>
      <c r="R64" s="348">
        <v>3.75</v>
      </c>
      <c r="S64" s="348" t="s">
        <v>673</v>
      </c>
      <c r="T64" s="348">
        <v>0.16669999999999999</v>
      </c>
      <c r="U64" s="354" t="s">
        <v>138</v>
      </c>
      <c r="V64" s="348">
        <v>3.3300000000000003E-2</v>
      </c>
      <c r="W64" s="353" t="s">
        <v>134</v>
      </c>
      <c r="X64" s="342">
        <v>25</v>
      </c>
      <c r="Y64" s="342" t="s">
        <v>669</v>
      </c>
    </row>
    <row r="65" spans="15:25">
      <c r="O65" s="321" t="s">
        <v>625</v>
      </c>
      <c r="P65" s="349">
        <v>8760</v>
      </c>
      <c r="Q65" s="349" t="s">
        <v>670</v>
      </c>
      <c r="R65" s="349">
        <v>175200</v>
      </c>
      <c r="S65" s="349" t="s">
        <v>674</v>
      </c>
      <c r="T65" s="349">
        <v>17520</v>
      </c>
      <c r="U65" s="349" t="s">
        <v>675</v>
      </c>
      <c r="V65" s="349">
        <v>8760</v>
      </c>
      <c r="W65" s="349" t="s">
        <v>670</v>
      </c>
      <c r="X65" s="342">
        <v>8760</v>
      </c>
      <c r="Y65" s="349" t="s">
        <v>670</v>
      </c>
    </row>
    <row r="66" spans="15:25" ht="13.8">
      <c r="O66" s="344" t="s">
        <v>626</v>
      </c>
      <c r="P66" s="345">
        <v>0.99995000000000001</v>
      </c>
      <c r="Q66" s="345"/>
      <c r="R66" s="345">
        <v>0.99997899999999995</v>
      </c>
      <c r="S66" s="345"/>
      <c r="T66" s="345">
        <v>0.99999000000000005</v>
      </c>
      <c r="U66" s="345"/>
      <c r="V66" s="345">
        <v>0.999996</v>
      </c>
      <c r="W66" s="345"/>
      <c r="X66" s="346">
        <v>0.99715399999999998</v>
      </c>
      <c r="Y66" s="346"/>
    </row>
    <row r="69" spans="15:25" ht="14.4">
      <c r="O69" s="350" t="s">
        <v>655</v>
      </c>
      <c r="P69" s="351"/>
      <c r="Q69" s="351"/>
      <c r="R69" s="351"/>
      <c r="S69" s="351"/>
      <c r="T69" s="351"/>
      <c r="U69" s="351"/>
      <c r="V69" s="351"/>
      <c r="W69" s="351"/>
      <c r="X69" s="352"/>
      <c r="Y69" s="352"/>
    </row>
    <row r="70" spans="15:25" ht="45" customHeight="1">
      <c r="O70" s="343"/>
      <c r="P70" s="505" t="s">
        <v>657</v>
      </c>
      <c r="Q70" s="506"/>
      <c r="R70" s="505" t="s">
        <v>658</v>
      </c>
      <c r="S70" s="506"/>
      <c r="T70" s="505" t="s">
        <v>659</v>
      </c>
      <c r="U70" s="506"/>
      <c r="V70" s="505" t="s">
        <v>660</v>
      </c>
      <c r="W70" s="506"/>
      <c r="X70" s="505" t="s">
        <v>633</v>
      </c>
      <c r="Y70" s="506"/>
    </row>
    <row r="71" spans="15:25">
      <c r="O71" s="321" t="s">
        <v>623</v>
      </c>
      <c r="P71" s="348">
        <v>0.875</v>
      </c>
      <c r="Q71" s="348" t="s">
        <v>680</v>
      </c>
      <c r="R71" s="348">
        <v>0.5</v>
      </c>
      <c r="S71" s="348" t="s">
        <v>666</v>
      </c>
      <c r="T71" s="348">
        <v>0.16669999999999999</v>
      </c>
      <c r="U71" s="354" t="s">
        <v>138</v>
      </c>
      <c r="V71" s="348">
        <v>3.3300000000000003E-2</v>
      </c>
      <c r="W71" s="353" t="s">
        <v>134</v>
      </c>
      <c r="X71" s="342">
        <v>1</v>
      </c>
      <c r="Y71" s="342" t="s">
        <v>667</v>
      </c>
    </row>
    <row r="72" spans="15:25">
      <c r="O72" s="321" t="s">
        <v>624</v>
      </c>
      <c r="P72" s="348">
        <v>0.875</v>
      </c>
      <c r="Q72" s="348" t="s">
        <v>680</v>
      </c>
      <c r="R72" s="348">
        <v>3.75</v>
      </c>
      <c r="S72" s="348" t="s">
        <v>673</v>
      </c>
      <c r="T72" s="348">
        <v>0.16669999999999999</v>
      </c>
      <c r="U72" s="354" t="s">
        <v>138</v>
      </c>
      <c r="V72" s="348">
        <v>3.3300000000000003E-2</v>
      </c>
      <c r="W72" s="353" t="s">
        <v>134</v>
      </c>
      <c r="X72" s="342">
        <v>25</v>
      </c>
      <c r="Y72" s="342" t="s">
        <v>669</v>
      </c>
    </row>
    <row r="73" spans="15:25">
      <c r="O73" s="321" t="s">
        <v>625</v>
      </c>
      <c r="P73" s="349">
        <v>8760</v>
      </c>
      <c r="Q73" s="349" t="s">
        <v>670</v>
      </c>
      <c r="R73" s="349">
        <v>87600</v>
      </c>
      <c r="S73" s="349" t="s">
        <v>681</v>
      </c>
      <c r="T73" s="349">
        <v>17520</v>
      </c>
      <c r="U73" s="349" t="s">
        <v>675</v>
      </c>
      <c r="V73" s="349">
        <v>8760</v>
      </c>
      <c r="W73" s="349" t="s">
        <v>670</v>
      </c>
      <c r="X73" s="342">
        <v>8760</v>
      </c>
      <c r="Y73" s="349" t="s">
        <v>670</v>
      </c>
    </row>
    <row r="74" spans="15:25" ht="13.8">
      <c r="O74" s="344" t="s">
        <v>626</v>
      </c>
      <c r="P74" s="345">
        <v>0.99990000000000001</v>
      </c>
      <c r="Q74" s="345"/>
      <c r="R74" s="345">
        <v>0.99995699999999998</v>
      </c>
      <c r="S74" s="345"/>
      <c r="T74" s="345">
        <v>0.99999000000000005</v>
      </c>
      <c r="U74" s="345"/>
      <c r="V74" s="345">
        <v>0.999996</v>
      </c>
      <c r="W74" s="345"/>
      <c r="X74" s="346">
        <v>0.99715399999999998</v>
      </c>
      <c r="Y74" s="346"/>
    </row>
    <row r="78" spans="15:25">
      <c r="S78" s="49"/>
    </row>
    <row r="81" spans="10:21">
      <c r="Q81" s="355"/>
    </row>
    <row r="82" spans="10:21" ht="28.8">
      <c r="J82">
        <f>0.1667*60</f>
        <v>10.001999999999999</v>
      </c>
      <c r="O82" s="356" t="s">
        <v>682</v>
      </c>
      <c r="P82" s="357" t="s">
        <v>683</v>
      </c>
      <c r="Q82" s="357" t="s">
        <v>684</v>
      </c>
      <c r="R82" s="357" t="s">
        <v>685</v>
      </c>
      <c r="S82" s="358" t="s">
        <v>686</v>
      </c>
      <c r="T82" s="359" t="s">
        <v>687</v>
      </c>
    </row>
    <row r="83" spans="10:21">
      <c r="J83">
        <f>0.0333*60</f>
        <v>1.9980000000000002</v>
      </c>
      <c r="O83" s="509">
        <v>1</v>
      </c>
      <c r="P83" s="360" t="s">
        <v>688</v>
      </c>
      <c r="Q83" s="360"/>
      <c r="R83" s="361">
        <f>1/1</f>
        <v>1</v>
      </c>
      <c r="S83" s="360">
        <f>5.25/1</f>
        <v>5.25</v>
      </c>
      <c r="T83" s="362">
        <f>P50</f>
        <v>0.99999000000000005</v>
      </c>
    </row>
    <row r="84" spans="10:21">
      <c r="O84" s="509"/>
      <c r="P84" s="133" t="s">
        <v>689</v>
      </c>
      <c r="Q84" s="133" t="s">
        <v>690</v>
      </c>
      <c r="R84" s="363">
        <f>1/50</f>
        <v>0.02</v>
      </c>
      <c r="S84" s="363">
        <f>62.5/50</f>
        <v>1.25</v>
      </c>
      <c r="T84" s="364">
        <v>0.99999800000000005</v>
      </c>
    </row>
    <row r="85" spans="10:21" ht="13.8">
      <c r="O85" s="509"/>
      <c r="P85" s="133" t="s">
        <v>691</v>
      </c>
      <c r="Q85" s="133" t="s">
        <v>692</v>
      </c>
      <c r="R85" s="363">
        <f>1/5</f>
        <v>0.2</v>
      </c>
      <c r="S85" s="363">
        <f>10/5</f>
        <v>2</v>
      </c>
      <c r="T85" s="364">
        <v>0.999996</v>
      </c>
    </row>
    <row r="86" spans="10:21">
      <c r="O86" s="509"/>
      <c r="P86" s="365" t="s">
        <v>693</v>
      </c>
      <c r="Q86" s="365" t="s">
        <v>692</v>
      </c>
      <c r="R86" s="366">
        <f>1/1</f>
        <v>1</v>
      </c>
      <c r="S86" s="366">
        <f>2/1</f>
        <v>2</v>
      </c>
      <c r="T86" s="367">
        <v>0.999996</v>
      </c>
    </row>
    <row r="87" spans="10:21">
      <c r="O87" s="510"/>
      <c r="P87" s="365" t="s">
        <v>622</v>
      </c>
      <c r="Q87" s="366"/>
      <c r="R87" s="366">
        <f>1/1</f>
        <v>1</v>
      </c>
      <c r="S87" s="366">
        <f>1500/1</f>
        <v>1500</v>
      </c>
      <c r="T87" s="367">
        <v>0.99715399999999998</v>
      </c>
      <c r="U87" s="49" t="s">
        <v>694</v>
      </c>
    </row>
    <row r="88" spans="10:21">
      <c r="O88" s="507">
        <v>2</v>
      </c>
      <c r="P88" s="360" t="s">
        <v>688</v>
      </c>
      <c r="Q88" s="360"/>
      <c r="R88" s="361">
        <v>1</v>
      </c>
      <c r="S88" s="360">
        <f>26.25/1</f>
        <v>26.25</v>
      </c>
      <c r="T88" s="362">
        <f>P58</f>
        <v>0.99995000000000001</v>
      </c>
    </row>
    <row r="89" spans="10:21">
      <c r="O89" s="507"/>
      <c r="P89" s="368" t="s">
        <v>689</v>
      </c>
      <c r="Q89" s="368" t="s">
        <v>690</v>
      </c>
      <c r="R89" s="369">
        <f>1/20</f>
        <v>0.05</v>
      </c>
      <c r="S89" s="369">
        <f>225/20</f>
        <v>11.25</v>
      </c>
      <c r="T89" s="370">
        <v>0.99997899999999995</v>
      </c>
    </row>
    <row r="90" spans="10:21" ht="13.8">
      <c r="O90" s="507"/>
      <c r="P90" s="368" t="s">
        <v>691</v>
      </c>
      <c r="Q90" s="368" t="s">
        <v>692</v>
      </c>
      <c r="R90" s="369">
        <f>1/2</f>
        <v>0.5</v>
      </c>
      <c r="S90" s="369">
        <f>10/2</f>
        <v>5</v>
      </c>
      <c r="T90" s="370">
        <v>0.99999000000000005</v>
      </c>
    </row>
    <row r="91" spans="10:21">
      <c r="O91" s="507"/>
      <c r="P91" s="371" t="s">
        <v>693</v>
      </c>
      <c r="Q91" s="371" t="s">
        <v>692</v>
      </c>
      <c r="R91" s="372">
        <f>1/1</f>
        <v>1</v>
      </c>
      <c r="S91" s="372">
        <f>2/1</f>
        <v>2</v>
      </c>
      <c r="T91" s="373">
        <v>0.999996</v>
      </c>
    </row>
    <row r="92" spans="10:21">
      <c r="J92" s="392"/>
      <c r="O92" s="508"/>
      <c r="P92" s="371" t="s">
        <v>695</v>
      </c>
      <c r="Q92" s="372"/>
      <c r="R92" s="372">
        <f>1/1</f>
        <v>1</v>
      </c>
      <c r="S92" s="372">
        <f>1500/1</f>
        <v>1500</v>
      </c>
      <c r="T92" s="373">
        <v>0.99715399999999998</v>
      </c>
      <c r="U92" s="49" t="s">
        <v>694</v>
      </c>
    </row>
    <row r="93" spans="10:21">
      <c r="O93" s="503">
        <v>3</v>
      </c>
      <c r="P93" s="360" t="s">
        <v>688</v>
      </c>
      <c r="Q93" s="360"/>
      <c r="R93" s="361">
        <f>1/1</f>
        <v>1</v>
      </c>
      <c r="S93" s="360">
        <f>52.5/1</f>
        <v>52.5</v>
      </c>
      <c r="T93" s="362">
        <f>P74</f>
        <v>0.99990000000000001</v>
      </c>
    </row>
    <row r="94" spans="10:21">
      <c r="O94" s="503"/>
      <c r="P94" s="374" t="s">
        <v>689</v>
      </c>
      <c r="Q94" s="374" t="s">
        <v>690</v>
      </c>
      <c r="R94" s="375">
        <f>1/10</f>
        <v>0.1</v>
      </c>
      <c r="S94" s="375">
        <f>225/10</f>
        <v>22.5</v>
      </c>
      <c r="T94" s="376">
        <v>0.99995699999999998</v>
      </c>
      <c r="U94" t="s">
        <v>752</v>
      </c>
    </row>
    <row r="95" spans="10:21" ht="13.8">
      <c r="O95" s="503"/>
      <c r="P95" s="374" t="s">
        <v>691</v>
      </c>
      <c r="Q95" s="374" t="s">
        <v>692</v>
      </c>
      <c r="R95" s="375">
        <f>1/2</f>
        <v>0.5</v>
      </c>
      <c r="S95" s="375">
        <f>10/2</f>
        <v>5</v>
      </c>
      <c r="T95" s="376">
        <v>0.99999000000000005</v>
      </c>
    </row>
    <row r="96" spans="10:21">
      <c r="O96" s="503"/>
      <c r="P96" s="141" t="s">
        <v>693</v>
      </c>
      <c r="Q96" s="141" t="s">
        <v>692</v>
      </c>
      <c r="R96" s="377">
        <f>1/1</f>
        <v>1</v>
      </c>
      <c r="S96" s="377">
        <f>2/1</f>
        <v>2</v>
      </c>
      <c r="T96" s="378">
        <v>0.999996</v>
      </c>
    </row>
    <row r="97" spans="9:21">
      <c r="O97" s="504"/>
      <c r="P97" s="141" t="s">
        <v>696</v>
      </c>
      <c r="Q97" s="377"/>
      <c r="R97" s="377">
        <f>1/1</f>
        <v>1</v>
      </c>
      <c r="S97" s="377">
        <f>1500/1</f>
        <v>1500</v>
      </c>
      <c r="T97" s="378">
        <v>0.99715399999999998</v>
      </c>
      <c r="U97" s="49" t="s">
        <v>694</v>
      </c>
    </row>
    <row r="100" spans="9:21">
      <c r="N100" s="49" t="s">
        <v>746</v>
      </c>
    </row>
    <row r="101" spans="9:21">
      <c r="P101" s="328" t="s">
        <v>65</v>
      </c>
      <c r="Q101" s="328" t="s">
        <v>77</v>
      </c>
      <c r="R101" s="328" t="s">
        <v>108</v>
      </c>
      <c r="S101" s="328" t="s">
        <v>109</v>
      </c>
      <c r="T101" s="328" t="s">
        <v>615</v>
      </c>
    </row>
    <row r="102" spans="9:21" ht="13.8">
      <c r="O102" s="360" t="s">
        <v>69</v>
      </c>
      <c r="P102" s="318">
        <v>0.99990000000000001</v>
      </c>
      <c r="Q102" s="319">
        <f>1-P102</f>
        <v>9.9999999999988987E-5</v>
      </c>
      <c r="R102" s="312">
        <f t="shared" ref="R102" si="8">Q102*hours_per_year</f>
        <v>0.87599999999990352</v>
      </c>
      <c r="S102" s="313">
        <f t="shared" ref="S102" si="9">Q102*min_per_year</f>
        <v>52.559999999994211</v>
      </c>
      <c r="T102" s="315">
        <f t="shared" ref="T102" si="10">Q102*secs_per_year</f>
        <v>3153.5999999996525</v>
      </c>
    </row>
    <row r="103" spans="9:21" ht="13.8">
      <c r="O103" s="374" t="s">
        <v>689</v>
      </c>
      <c r="P103" s="318">
        <v>0.99995699999999998</v>
      </c>
      <c r="Q103" s="319">
        <f t="shared" ref="Q103:Q105" si="11">1-P103</f>
        <v>4.3000000000015248E-5</v>
      </c>
      <c r="R103" s="312">
        <f t="shared" ref="R103:R104" si="12">Q103*hours_per_year</f>
        <v>0.37668000000013357</v>
      </c>
      <c r="S103" s="313">
        <f t="shared" ref="S103:S104" si="13">Q103*min_per_year</f>
        <v>22.600800000008014</v>
      </c>
      <c r="T103" s="315">
        <f t="shared" ref="T103:T104" si="14">Q103*secs_per_year</f>
        <v>1356.0480000004809</v>
      </c>
    </row>
    <row r="104" spans="9:21" ht="14.4">
      <c r="O104" s="374" t="s">
        <v>691</v>
      </c>
      <c r="P104" s="318">
        <v>0.99999000000000005</v>
      </c>
      <c r="Q104" s="319">
        <f t="shared" si="11"/>
        <v>9.9999999999544897E-6</v>
      </c>
      <c r="R104" s="312">
        <f t="shared" si="12"/>
        <v>8.759999999960133E-2</v>
      </c>
      <c r="S104" s="313">
        <f t="shared" si="13"/>
        <v>5.2559999999760798</v>
      </c>
      <c r="T104" s="315">
        <f t="shared" si="14"/>
        <v>315.35999999856477</v>
      </c>
      <c r="U104" s="49" t="s">
        <v>751</v>
      </c>
    </row>
    <row r="105" spans="9:21" ht="13.8">
      <c r="O105" s="141" t="s">
        <v>693</v>
      </c>
      <c r="P105" s="318">
        <v>0.999996</v>
      </c>
      <c r="Q105" s="319">
        <f t="shared" si="11"/>
        <v>4.0000000000040004E-6</v>
      </c>
      <c r="R105" s="312">
        <f t="shared" ref="R105" si="15">Q105*hours_per_year</f>
        <v>3.5040000000035043E-2</v>
      </c>
      <c r="S105" s="313">
        <f t="shared" ref="S105" si="16">Q105*min_per_year</f>
        <v>2.1024000000021026</v>
      </c>
      <c r="T105" s="315">
        <f t="shared" ref="T105" si="17">Q105*secs_per_year</f>
        <v>126.14400000012616</v>
      </c>
      <c r="U105" s="49" t="s">
        <v>751</v>
      </c>
    </row>
    <row r="107" spans="9:21" ht="26.4">
      <c r="I107" s="384" t="s">
        <v>747</v>
      </c>
      <c r="J107" s="316" t="s">
        <v>748</v>
      </c>
      <c r="K107" s="316" t="s">
        <v>97</v>
      </c>
      <c r="L107" s="316" t="s">
        <v>98</v>
      </c>
      <c r="M107" s="385" t="s">
        <v>749</v>
      </c>
      <c r="N107" s="316" t="s">
        <v>750</v>
      </c>
      <c r="O107" s="316" t="s">
        <v>94</v>
      </c>
    </row>
    <row r="108" spans="9:21" ht="13.8">
      <c r="I108" s="317">
        <f>1/K108</f>
        <v>1.1400649837035459E-4</v>
      </c>
      <c r="J108" s="386">
        <f>I108/nano</f>
        <v>114006.49837035459</v>
      </c>
      <c r="K108" s="386">
        <f>P108*O108/(1-P108)</f>
        <v>8771.4298245654445</v>
      </c>
      <c r="L108" s="387">
        <f>K108/hours_per_year</f>
        <v>1.0013047744937722</v>
      </c>
      <c r="M108" s="388">
        <f>100*(1-EXP(-1/L108))</f>
        <v>63.164087212638535</v>
      </c>
      <c r="N108" s="390">
        <f>1/O108</f>
        <v>2</v>
      </c>
      <c r="O108" s="391">
        <v>0.5</v>
      </c>
      <c r="P108" s="318">
        <f>1-Q108</f>
        <v>0.99994300000000003</v>
      </c>
      <c r="Q108" s="319">
        <f>S108/min_per_year</f>
        <v>5.6999999999973738E-5</v>
      </c>
      <c r="R108" s="312">
        <f t="shared" ref="R108" si="18">Q108*hours_per_year</f>
        <v>0.49931999999976995</v>
      </c>
      <c r="S108" s="383">
        <f>SUM(S103:S105)</f>
        <v>29.959199999986197</v>
      </c>
      <c r="T108" s="315">
        <f>Q108*secs_per_year</f>
        <v>1797.5519999991718</v>
      </c>
    </row>
    <row r="110" spans="9:21" ht="13.8">
      <c r="I110" s="317">
        <f>J110*nano</f>
        <v>2.8000000000000003E-5</v>
      </c>
      <c r="J110" s="389">
        <v>28000</v>
      </c>
      <c r="K110" s="386">
        <f>1/(J110*nano)</f>
        <v>35714.28571428571</v>
      </c>
      <c r="L110" s="387">
        <f>K110/hours_per_year</f>
        <v>4.0769732550554467</v>
      </c>
      <c r="M110" s="388">
        <f>100*(1-EXP(-1/L110))</f>
        <v>21.751458834968506</v>
      </c>
      <c r="N110" s="390">
        <f>1/O110</f>
        <v>2</v>
      </c>
      <c r="O110" s="391">
        <v>0.5</v>
      </c>
      <c r="P110" s="318">
        <f>K110/(K110+O110)</f>
        <v>0.99998600019599726</v>
      </c>
      <c r="Q110" s="319">
        <f>1-P110</f>
        <v>1.3999804002740035E-5</v>
      </c>
      <c r="R110" s="312">
        <f>Q110*hours_per_year</f>
        <v>0.12263828306400271</v>
      </c>
      <c r="S110" s="312">
        <f>Q110*min_per_year</f>
        <v>7.3582969838401624</v>
      </c>
      <c r="T110" s="315">
        <f>Q110*secs_per_year</f>
        <v>441.49781903040974</v>
      </c>
    </row>
  </sheetData>
  <mergeCells count="29">
    <mergeCell ref="G7:I7"/>
    <mergeCell ref="O7:T7"/>
    <mergeCell ref="O15:T15"/>
    <mergeCell ref="O23:T23"/>
    <mergeCell ref="O31:T31"/>
    <mergeCell ref="P54:Q54"/>
    <mergeCell ref="R54:S54"/>
    <mergeCell ref="T54:U54"/>
    <mergeCell ref="V54:W54"/>
    <mergeCell ref="O42:Y42"/>
    <mergeCell ref="X54:Y54"/>
    <mergeCell ref="P46:Q46"/>
    <mergeCell ref="R46:S46"/>
    <mergeCell ref="T46:U46"/>
    <mergeCell ref="V46:W46"/>
    <mergeCell ref="X46:Y46"/>
    <mergeCell ref="O93:O97"/>
    <mergeCell ref="V62:W62"/>
    <mergeCell ref="X62:Y62"/>
    <mergeCell ref="P70:Q70"/>
    <mergeCell ref="R70:S70"/>
    <mergeCell ref="T70:U70"/>
    <mergeCell ref="V70:W70"/>
    <mergeCell ref="X70:Y70"/>
    <mergeCell ref="O88:O92"/>
    <mergeCell ref="O83:O87"/>
    <mergeCell ref="P62:Q62"/>
    <mergeCell ref="R62:S62"/>
    <mergeCell ref="T62:U62"/>
  </mergeCells>
  <pageMargins left="0.7" right="0.7" top="0.75" bottom="0.75" header="0.3" footer="0.3"/>
  <pageSetup paperSize="9" orientation="portrait" verticalDpi="0" r:id="rId1"/>
  <headerFooter>
    <oddHeader>&amp;L&amp;"Arial Black"&amp;10&amp;K76923C&amp;1#</oddHeader>
  </headerFooter>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DB928-35E6-47D3-A342-C3D9C7D33C12}">
  <dimension ref="A1:E14"/>
  <sheetViews>
    <sheetView workbookViewId="0">
      <selection activeCell="B1" sqref="B1"/>
    </sheetView>
  </sheetViews>
  <sheetFormatPr defaultColWidth="9.109375" defaultRowHeight="13.2"/>
  <cols>
    <col min="1" max="1" width="13.88671875" style="13" bestFit="1" customWidth="1"/>
    <col min="2" max="16384" width="9.109375" style="13"/>
  </cols>
  <sheetData>
    <row r="1" spans="1:5">
      <c r="A1" s="13" t="s">
        <v>697</v>
      </c>
      <c r="B1" s="48">
        <v>1.0000000000000001E-9</v>
      </c>
    </row>
    <row r="2" spans="1:5">
      <c r="A2" s="13" t="s">
        <v>698</v>
      </c>
      <c r="B2" s="48">
        <v>1</v>
      </c>
    </row>
    <row r="3" spans="1:5">
      <c r="A3" s="13" t="s">
        <v>699</v>
      </c>
      <c r="B3" s="48">
        <v>4</v>
      </c>
    </row>
    <row r="4" spans="1:5">
      <c r="A4" s="13" t="s">
        <v>700</v>
      </c>
      <c r="B4" s="48">
        <v>8</v>
      </c>
    </row>
    <row r="5" spans="1:5">
      <c r="A5" s="13" t="s">
        <v>701</v>
      </c>
      <c r="B5" s="48">
        <f>15/60</f>
        <v>0.25</v>
      </c>
      <c r="E5" s="48"/>
    </row>
    <row r="6" spans="1:5">
      <c r="A6" s="13" t="s">
        <v>702</v>
      </c>
      <c r="B6" s="48">
        <f>10/60</f>
        <v>0.16666666666666666</v>
      </c>
      <c r="E6" s="48"/>
    </row>
    <row r="7" spans="1:5">
      <c r="A7" s="13" t="s">
        <v>703</v>
      </c>
      <c r="B7" s="48">
        <f>5/60</f>
        <v>8.3333333333333329E-2</v>
      </c>
    </row>
    <row r="8" spans="1:5">
      <c r="A8" s="13" t="s">
        <v>704</v>
      </c>
      <c r="B8" s="48">
        <v>0.05</v>
      </c>
      <c r="D8" s="48"/>
    </row>
    <row r="9" spans="1:5">
      <c r="A9" s="13" t="s">
        <v>705</v>
      </c>
      <c r="B9" s="48">
        <f>2/60</f>
        <v>3.3333333333333333E-2</v>
      </c>
    </row>
    <row r="10" spans="1:5">
      <c r="A10" s="13" t="s">
        <v>706</v>
      </c>
      <c r="B10" s="48">
        <v>1.6666666666666666E-2</v>
      </c>
    </row>
    <row r="11" spans="1:5">
      <c r="A11" s="13" t="s">
        <v>707</v>
      </c>
      <c r="B11" s="48">
        <v>8760</v>
      </c>
    </row>
    <row r="12" spans="1:5">
      <c r="A12" s="13" t="s">
        <v>708</v>
      </c>
      <c r="B12" s="48">
        <v>525600</v>
      </c>
    </row>
    <row r="13" spans="1:5">
      <c r="A13" s="13" t="s">
        <v>709</v>
      </c>
      <c r="B13" s="48">
        <v>31536000</v>
      </c>
    </row>
    <row r="14" spans="1:5">
      <c r="A14" s="13" t="s">
        <v>710</v>
      </c>
      <c r="B14">
        <f ca="1">MTTR_3sec</f>
        <v>8.3333333333333328E-4</v>
      </c>
    </row>
  </sheetData>
  <pageMargins left="0.7" right="0.7" top="0.75" bottom="0.75" header="0.3" footer="0.3"/>
  <pageSetup paperSize="9" orientation="portrait" verticalDpi="0" r:id="rId1"/>
  <headerFooter>
    <oddHeader>&amp;L&amp;"Arial Black"&amp;10&amp;K76923C&amp;1#</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8F55-7FE6-4784-BF56-62767824EB9D}">
  <dimension ref="C10:M42"/>
  <sheetViews>
    <sheetView workbookViewId="0">
      <selection activeCell="M22" sqref="M22"/>
    </sheetView>
  </sheetViews>
  <sheetFormatPr defaultRowHeight="13.2"/>
  <cols>
    <col min="5" max="5" width="22.109375" bestFit="1" customWidth="1"/>
  </cols>
  <sheetData>
    <row r="10" spans="3:13">
      <c r="D10" s="49" t="s">
        <v>711</v>
      </c>
      <c r="E10" s="49"/>
      <c r="G10" s="49"/>
    </row>
    <row r="12" spans="3:13">
      <c r="C12" s="49" t="s">
        <v>712</v>
      </c>
      <c r="D12" s="49" t="s">
        <v>713</v>
      </c>
      <c r="E12" s="67">
        <v>1</v>
      </c>
    </row>
    <row r="13" spans="3:13">
      <c r="C13" s="49" t="s">
        <v>714</v>
      </c>
      <c r="D13" s="49" t="s">
        <v>715</v>
      </c>
      <c r="E13" s="67">
        <v>0.05</v>
      </c>
      <c r="F13" s="49" t="s">
        <v>716</v>
      </c>
    </row>
    <row r="14" spans="3:13">
      <c r="C14" s="49" t="s">
        <v>717</v>
      </c>
      <c r="D14" s="49" t="s">
        <v>718</v>
      </c>
      <c r="E14" s="67">
        <v>0.05</v>
      </c>
      <c r="F14" s="49" t="s">
        <v>716</v>
      </c>
      <c r="M14" s="49" t="s">
        <v>719</v>
      </c>
    </row>
    <row r="15" spans="3:13">
      <c r="C15" s="49" t="s">
        <v>720</v>
      </c>
      <c r="D15" s="49" t="s">
        <v>721</v>
      </c>
      <c r="E15" s="67">
        <v>0.05</v>
      </c>
      <c r="F15" s="49" t="s">
        <v>716</v>
      </c>
      <c r="M15" s="49" t="s">
        <v>722</v>
      </c>
    </row>
    <row r="16" spans="3:13">
      <c r="M16" s="49" t="s">
        <v>723</v>
      </c>
    </row>
    <row r="17" spans="4:13">
      <c r="M17" s="49" t="s">
        <v>724</v>
      </c>
    </row>
    <row r="19" spans="4:13">
      <c r="D19" s="49" t="s">
        <v>725</v>
      </c>
      <c r="F19" s="49" t="s">
        <v>726</v>
      </c>
    </row>
    <row r="20" spans="4:13">
      <c r="D20" s="49" t="s">
        <v>727</v>
      </c>
    </row>
    <row r="21" spans="4:13">
      <c r="D21" s="49" t="s">
        <v>728</v>
      </c>
    </row>
    <row r="24" spans="4:13">
      <c r="D24" s="49" t="s">
        <v>729</v>
      </c>
      <c r="H24" s="49" t="s">
        <v>730</v>
      </c>
    </row>
    <row r="25" spans="4:13">
      <c r="D25" s="49" t="s">
        <v>731</v>
      </c>
      <c r="H25" s="49" t="s">
        <v>732</v>
      </c>
    </row>
    <row r="26" spans="4:13">
      <c r="D26" s="49" t="s">
        <v>733</v>
      </c>
      <c r="H26" s="49" t="s">
        <v>734</v>
      </c>
    </row>
    <row r="33" spans="4:6">
      <c r="D33" s="49" t="s">
        <v>735</v>
      </c>
    </row>
    <row r="34" spans="4:6">
      <c r="D34">
        <v>1</v>
      </c>
      <c r="E34" s="49" t="s">
        <v>736</v>
      </c>
    </row>
    <row r="35" spans="4:6">
      <c r="D35" s="68" t="s">
        <v>737</v>
      </c>
      <c r="E35" s="49" t="s">
        <v>56</v>
      </c>
    </row>
    <row r="36" spans="4:6">
      <c r="D36" s="68" t="s">
        <v>738</v>
      </c>
      <c r="E36" s="49" t="s">
        <v>739</v>
      </c>
      <c r="F36" s="67"/>
    </row>
    <row r="37" spans="4:6">
      <c r="F37" s="67"/>
    </row>
    <row r="38" spans="4:6">
      <c r="F38" s="67"/>
    </row>
    <row r="39" spans="4:6">
      <c r="D39" s="49" t="s">
        <v>740</v>
      </c>
      <c r="F39" s="67"/>
    </row>
    <row r="40" spans="4:6">
      <c r="D40">
        <v>3</v>
      </c>
      <c r="E40" s="49" t="s">
        <v>736</v>
      </c>
    </row>
    <row r="41" spans="4:6">
      <c r="D41">
        <v>30</v>
      </c>
      <c r="E41" s="49" t="s">
        <v>56</v>
      </c>
    </row>
    <row r="42" spans="4:6">
      <c r="D42">
        <v>9</v>
      </c>
      <c r="E42" s="49" t="s">
        <v>739</v>
      </c>
    </row>
  </sheetData>
  <pageMargins left="0.7" right="0.7" top="0.75" bottom="0.75" header="0.3" footer="0.3"/>
  <pageSetup paperSize="9" orientation="portrait" verticalDpi="0" r:id="rId1"/>
  <headerFooter>
    <oddHeader>&amp;L&amp;"Arial Black"&amp;10&amp;K76923C&amp;1#</oddHeader>
  </headerFooter>
  <drawing r:id="rId2"/>
  <legacyDrawing r:id="rId3"/>
  <oleObjects>
    <mc:AlternateContent xmlns:mc="http://schemas.openxmlformats.org/markup-compatibility/2006">
      <mc:Choice Requires="x14">
        <oleObject progId="Equation.3" shapeId="13313" r:id="rId4">
          <objectPr defaultSize="0" autoPict="0" r:id="rId5">
            <anchor moveWithCells="1" sizeWithCells="1">
              <from>
                <xdr:col>12</xdr:col>
                <xdr:colOff>99060</xdr:colOff>
                <xdr:row>10</xdr:row>
                <xdr:rowOff>30480</xdr:rowOff>
              </from>
              <to>
                <xdr:col>14</xdr:col>
                <xdr:colOff>106680</xdr:colOff>
                <xdr:row>12</xdr:row>
                <xdr:rowOff>137160</xdr:rowOff>
              </to>
            </anchor>
          </objectPr>
        </oleObject>
      </mc:Choice>
      <mc:Fallback>
        <oleObject progId="Equation.3" shapeId="13313"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9D68582EA61824C83DFEE30F0A57123" ma:contentTypeVersion="11" ma:contentTypeDescription="Create a new document." ma:contentTypeScope="" ma:versionID="00998bdb95a09be643a8c4357403ecf7">
  <xsd:schema xmlns:xsd="http://www.w3.org/2001/XMLSchema" xmlns:xs="http://www.w3.org/2001/XMLSchema" xmlns:p="http://schemas.microsoft.com/office/2006/metadata/properties" xmlns:ns2="2f9dc90f-1299-4b9a-818c-ce6c4da475dd" xmlns:ns3="d6727227-78a3-4c6b-8cf9-fbafb3cba6e5" targetNamespace="http://schemas.microsoft.com/office/2006/metadata/properties" ma:root="true" ma:fieldsID="ad7b7c7311879022147a4d454033dca9" ns2:_="" ns3:_="">
    <xsd:import namespace="2f9dc90f-1299-4b9a-818c-ce6c4da475dd"/>
    <xsd:import namespace="d6727227-78a3-4c6b-8cf9-fbafb3cba6e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9dc90f-1299-4b9a-818c-ce6c4da475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36c1ffa-2869-427d-a718-c6834b1bcd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727227-78a3-4c6b-8cf9-fbafb3cba6e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549b0e7f-8387-4258-85dc-c5eafec7bade}" ma:internalName="TaxCatchAll" ma:showField="CatchAllData" ma:web="d6727227-78a3-4c6b-8cf9-fbafb3cba6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9dc90f-1299-4b9a-818c-ce6c4da475dd">
      <Terms xmlns="http://schemas.microsoft.com/office/infopath/2007/PartnerControls"/>
    </lcf76f155ced4ddcb4097134ff3c332f>
    <TaxCatchAll xmlns="d6727227-78a3-4c6b-8cf9-fbafb3cba6e5" xsi:nil="true"/>
  </documentManagement>
</p:properties>
</file>

<file path=customXml/itemProps1.xml><?xml version="1.0" encoding="utf-8"?>
<ds:datastoreItem xmlns:ds="http://schemas.openxmlformats.org/officeDocument/2006/customXml" ds:itemID="{07143EC9-B2B6-4958-B0F4-8FAECB00EF5C}">
  <ds:schemaRefs>
    <ds:schemaRef ds:uri="http://schemas.microsoft.com/sharepoint/v3/contenttype/forms"/>
  </ds:schemaRefs>
</ds:datastoreItem>
</file>

<file path=customXml/itemProps2.xml><?xml version="1.0" encoding="utf-8"?>
<ds:datastoreItem xmlns:ds="http://schemas.openxmlformats.org/officeDocument/2006/customXml" ds:itemID="{886F9221-D22A-49D2-8A6D-5752BA2176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9dc90f-1299-4b9a-818c-ce6c4da475dd"/>
    <ds:schemaRef ds:uri="d6727227-78a3-4c6b-8cf9-fbafb3cba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3A99F6-DD2C-4C7F-83D9-4A52B381C813}">
  <ds:schemaRefs>
    <ds:schemaRef ds:uri="http://purl.org/dc/terms/"/>
    <ds:schemaRef ds:uri="2f9dc90f-1299-4b9a-818c-ce6c4da475dd"/>
    <ds:schemaRef ds:uri="d6727227-78a3-4c6b-8cf9-fbafb3cba6e5"/>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33</vt:i4>
      </vt:variant>
    </vt:vector>
  </HeadingPairs>
  <TitlesOfParts>
    <vt:vector size="50" baseType="lpstr">
      <vt:lpstr>Cover Sheet</vt:lpstr>
      <vt:lpstr>Edition</vt:lpstr>
      <vt:lpstr>1.Architechture</vt:lpstr>
      <vt:lpstr>2.Failure Rates</vt:lpstr>
      <vt:lpstr>3.Components_1</vt:lpstr>
      <vt:lpstr>3.Overview</vt:lpstr>
      <vt:lpstr>4.1 Calculations 2x(2oo2)</vt:lpstr>
      <vt:lpstr>Split_Brain_260910</vt:lpstr>
      <vt:lpstr>4.2 Calculations 2oo3_hot</vt:lpstr>
      <vt:lpstr>4.3 Calculations  Warm_standby</vt:lpstr>
      <vt:lpstr>5.Summary</vt:lpstr>
      <vt:lpstr>6.Info</vt:lpstr>
      <vt:lpstr>6.Lastenheft OBB</vt:lpstr>
      <vt:lpstr>7.Lastenheft_RAM</vt:lpstr>
      <vt:lpstr>8. Verfügbarkeitsanforderungen</vt:lpstr>
      <vt:lpstr>settings</vt:lpstr>
      <vt:lpstr>considerations</vt:lpstr>
      <vt:lpstr>Control_Plane</vt:lpstr>
      <vt:lpstr>Control_Slave</vt:lpstr>
      <vt:lpstr>Data_Slave</vt:lpstr>
      <vt:lpstr>Data_Storage</vt:lpstr>
      <vt:lpstr>hours_per_year</vt:lpstr>
      <vt:lpstr>min_per_year</vt:lpstr>
      <vt:lpstr>MTTR_10min</vt:lpstr>
      <vt:lpstr>MTTR_15min</vt:lpstr>
      <vt:lpstr>MTTR_1h</vt:lpstr>
      <vt:lpstr>MTTR_1min</vt:lpstr>
      <vt:lpstr>MTTR_2min</vt:lpstr>
      <vt:lpstr>MTTR_3min</vt:lpstr>
      <vt:lpstr>MTTR_3sec</vt:lpstr>
      <vt:lpstr>MTTR_4h</vt:lpstr>
      <vt:lpstr>MTTR_5min</vt:lpstr>
      <vt:lpstr>MTTR_8h</vt:lpstr>
      <vt:lpstr>nano</vt:lpstr>
      <vt:lpstr>'4.1 Calculations 2x(2oo2)'!Network</vt:lpstr>
      <vt:lpstr>'4.2 Calculations 2oo3_hot'!Network</vt:lpstr>
      <vt:lpstr>'4.3 Calculations  Warm_standby'!Network</vt:lpstr>
      <vt:lpstr>'1.Architechture'!Print_Area</vt:lpstr>
      <vt:lpstr>'2.Failure Rates'!Print_Area</vt:lpstr>
      <vt:lpstr>'3.Components_1'!Print_Area</vt:lpstr>
      <vt:lpstr>'4.1 Calculations 2x(2oo2)'!Print_Area</vt:lpstr>
      <vt:lpstr>'4.2 Calculations 2oo3_hot'!Print_Area</vt:lpstr>
      <vt:lpstr>'4.3 Calculations  Warm_standby'!Print_Area</vt:lpstr>
      <vt:lpstr>'Cover Sheet'!Print_Area</vt:lpstr>
      <vt:lpstr>Edition!Print_Area</vt:lpstr>
      <vt:lpstr>secs_per_year</vt:lpstr>
      <vt:lpstr>Server_Master</vt:lpstr>
      <vt:lpstr>Server_Slave</vt:lpstr>
      <vt:lpstr>Switch</vt:lpstr>
      <vt:lpstr>Switch_hot</vt:lpstr>
    </vt:vector>
  </TitlesOfParts>
  <Manager/>
  <Company>Thales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Titre du document</dc:title>
  <dc:subject/>
  <dc:creator>T0003114</dc:creator>
  <cp:keywords/>
  <dc:description/>
  <cp:lastModifiedBy>MOSER Florian</cp:lastModifiedBy>
  <cp:revision/>
  <dcterms:created xsi:type="dcterms:W3CDTF">2006-01-13T14:55:33Z</dcterms:created>
  <dcterms:modified xsi:type="dcterms:W3CDTF">2026-09-10T11:02:37Z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0x01010069D68582EA61824C83DFEE30F0A57123</vt:lpwstr>
  </property>
  <property fmtid="{D5CDD505-2E9C-101B-9397-08002B2CF9AE}" pid="3" name="MediaServiceImageTags">
    <vt:lpwstr/>
  </property>
  <property fmtid="{D5CDD505-2E9C-101B-9397-08002B2CF9AE}" pid="4" name="MSIP_Label_ff38c91a-b32e-488d-b670-a1d2c23c2c99_Enabled">
    <vt:lpwstr>true</vt:lpwstr>
  </property>
  <property fmtid="{D5CDD505-2E9C-101B-9397-08002B2CF9AE}" pid="5" name="MSIP_Label_ff38c91a-b32e-488d-b670-a1d2c23c2c99_SetDate">
    <vt:lpwstr>2026-04-22T12:27:30Z</vt:lpwstr>
  </property>
  <property fmtid="{D5CDD505-2E9C-101B-9397-08002B2CF9AE}" pid="6" name="MSIP_Label_ff38c91a-b32e-488d-b670-a1d2c23c2c99_Method">
    <vt:lpwstr>Privileged</vt:lpwstr>
  </property>
  <property fmtid="{D5CDD505-2E9C-101B-9397-08002B2CF9AE}" pid="7" name="MSIP_Label_ff38c91a-b32e-488d-b670-a1d2c23c2c99_Name">
    <vt:lpwstr>NEST-CORE-02</vt:lpwstr>
  </property>
  <property fmtid="{D5CDD505-2E9C-101B-9397-08002B2CF9AE}" pid="8" name="MSIP_Label_ff38c91a-b32e-488d-b670-a1d2c23c2c99_SiteId">
    <vt:lpwstr>f33c7791-13ed-4c20-878e-518e247895dc</vt:lpwstr>
  </property>
  <property fmtid="{D5CDD505-2E9C-101B-9397-08002B2CF9AE}" pid="9" name="MSIP_Label_ff38c91a-b32e-488d-b670-a1d2c23c2c99_ActionId">
    <vt:lpwstr>30cc5e02-4b8e-45f6-8820-329d9b027e38</vt:lpwstr>
  </property>
  <property fmtid="{D5CDD505-2E9C-101B-9397-08002B2CF9AE}" pid="10" name="MSIP_Label_ff38c91a-b32e-488d-b670-a1d2c23c2c99_ContentBits">
    <vt:lpwstr>3</vt:lpwstr>
  </property>
</Properties>
</file>