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Desktop\BONUS\"/>
    </mc:Choice>
  </mc:AlternateContent>
  <bookViews>
    <workbookView xWindow="-120" yWindow="-120" windowWidth="20730" windowHeight="11160" activeTab="10"/>
  </bookViews>
  <sheets>
    <sheet name="GUIDELINES" sheetId="1" r:id="rId1"/>
    <sheet name="Last Year Sales" sheetId="20" r:id="rId2"/>
    <sheet name="JAN" sheetId="2" r:id="rId3"/>
    <sheet name="FEB" sheetId="3" r:id="rId4"/>
    <sheet name="MAR" sheetId="4" r:id="rId5"/>
    <sheet name="Q 1" sheetId="14" r:id="rId6"/>
    <sheet name="APR" sheetId="5" r:id="rId7"/>
    <sheet name="MAY" sheetId="6" r:id="rId8"/>
    <sheet name="JUN" sheetId="7" r:id="rId9"/>
    <sheet name="Q 2" sheetId="15" r:id="rId10"/>
    <sheet name="JUL" sheetId="8" r:id="rId11"/>
    <sheet name="AUG" sheetId="19" r:id="rId12"/>
    <sheet name="SEP" sheetId="10" r:id="rId13"/>
    <sheet name="Q 3" sheetId="16" r:id="rId14"/>
    <sheet name="OCT" sheetId="11" r:id="rId15"/>
    <sheet name="NOV" sheetId="12" r:id="rId16"/>
    <sheet name="DEC" sheetId="13" r:id="rId17"/>
    <sheet name="Q 4" sheetId="17" r:id="rId18"/>
    <sheet name="TOTAL YTD" sheetId="18" r:id="rId19"/>
  </sheets>
  <definedNames>
    <definedName name="deta">JAN!$H$13:$I$30</definedName>
    <definedName name="Gread">GUIDELINES!$H$12:$J$13</definedName>
    <definedName name="_xlnm.Print_Area" localSheetId="6">APR!$A$1:$G$30</definedName>
    <definedName name="_xlnm.Print_Area" localSheetId="11">AUG!$A$1:$G$30</definedName>
    <definedName name="_xlnm.Print_Area" localSheetId="16">DEC!$A$1:$G$30</definedName>
    <definedName name="_xlnm.Print_Area" localSheetId="3">FEB!$A$1:$G$30</definedName>
    <definedName name="_xlnm.Print_Area" localSheetId="0">GUIDELINES!$A$1:$J$41</definedName>
    <definedName name="_xlnm.Print_Area" localSheetId="2">JAN!$A$1:$G$30</definedName>
    <definedName name="_xlnm.Print_Area" localSheetId="10">JUL!$A$1:$G$30</definedName>
    <definedName name="_xlnm.Print_Area" localSheetId="8">JUN!$A$1:$G$30</definedName>
    <definedName name="_xlnm.Print_Area" localSheetId="4">MAR!$A$1:$G$30</definedName>
    <definedName name="_xlnm.Print_Area" localSheetId="7">MAY!$A$1:$G$30</definedName>
    <definedName name="_xlnm.Print_Area" localSheetId="15">NOV!$A$1:$G$30</definedName>
    <definedName name="_xlnm.Print_Area" localSheetId="14">OCT!$A$1:$G$30</definedName>
    <definedName name="_xlnm.Print_Area" localSheetId="5">'Q 1'!$A$1:$E$30</definedName>
    <definedName name="_xlnm.Print_Area" localSheetId="9">'Q 2'!$A$1:$E$30</definedName>
    <definedName name="_xlnm.Print_Area" localSheetId="13">'Q 3'!$A$1:$E$30</definedName>
    <definedName name="_xlnm.Print_Area" localSheetId="17">'Q 4'!$A$1:$E$30</definedName>
    <definedName name="_xlnm.Print_Area" localSheetId="12">SEP!$A$1:$G$30</definedName>
    <definedName name="_xlnm.Print_Area" localSheetId="18">'TOTAL YTD'!$A$1:$F$30</definedName>
    <definedName name="Sales">JAN!$K$13:$L$19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3" l="1"/>
  <c r="G23" i="12"/>
  <c r="G23" i="11"/>
  <c r="G23" i="10"/>
  <c r="G23" i="19"/>
  <c r="G23" i="8"/>
  <c r="G23" i="7"/>
  <c r="G23" i="6"/>
  <c r="G23" i="5"/>
  <c r="G23" i="4"/>
  <c r="G23" i="3"/>
  <c r="G23" i="2"/>
  <c r="B1" i="3" l="1"/>
  <c r="B1" i="4"/>
  <c r="B23" i="15" l="1"/>
  <c r="B23" i="14"/>
  <c r="F24" i="13"/>
  <c r="E24" i="13"/>
  <c r="D24" i="13"/>
  <c r="C24" i="13"/>
  <c r="B24" i="13"/>
  <c r="G22" i="13"/>
  <c r="G24" i="13" s="1"/>
  <c r="F24" i="12"/>
  <c r="E24" i="12"/>
  <c r="D24" i="12"/>
  <c r="C24" i="12"/>
  <c r="B24" i="12"/>
  <c r="G22" i="12"/>
  <c r="G24" i="12" s="1"/>
  <c r="F24" i="11"/>
  <c r="E24" i="11"/>
  <c r="D24" i="11"/>
  <c r="C24" i="11"/>
  <c r="B24" i="11"/>
  <c r="G22" i="11"/>
  <c r="G24" i="11" s="1"/>
  <c r="F24" i="10"/>
  <c r="E24" i="10"/>
  <c r="D24" i="10"/>
  <c r="C24" i="10"/>
  <c r="B24" i="10"/>
  <c r="G22" i="10"/>
  <c r="G24" i="10" s="1"/>
  <c r="F24" i="19"/>
  <c r="E24" i="19"/>
  <c r="D24" i="19"/>
  <c r="C24" i="19"/>
  <c r="B24" i="19"/>
  <c r="G22" i="19"/>
  <c r="G24" i="19" s="1"/>
  <c r="F24" i="8"/>
  <c r="E24" i="8"/>
  <c r="D24" i="8"/>
  <c r="C24" i="8"/>
  <c r="B24" i="8"/>
  <c r="G22" i="8"/>
  <c r="G24" i="8" s="1"/>
  <c r="F24" i="7"/>
  <c r="E24" i="7"/>
  <c r="D24" i="7"/>
  <c r="C24" i="7"/>
  <c r="B24" i="7"/>
  <c r="G22" i="7"/>
  <c r="G24" i="7" s="1"/>
  <c r="F24" i="6"/>
  <c r="E24" i="6"/>
  <c r="D24" i="6"/>
  <c r="C24" i="6"/>
  <c r="B24" i="6"/>
  <c r="G22" i="6"/>
  <c r="G24" i="6" s="1"/>
  <c r="F24" i="5"/>
  <c r="E24" i="5"/>
  <c r="D24" i="5"/>
  <c r="C24" i="5"/>
  <c r="B24" i="5"/>
  <c r="G22" i="5"/>
  <c r="G24" i="5" s="1"/>
  <c r="F24" i="4"/>
  <c r="E24" i="4"/>
  <c r="D24" i="4"/>
  <c r="C24" i="4"/>
  <c r="B24" i="4"/>
  <c r="G22" i="4"/>
  <c r="G24" i="4" s="1"/>
  <c r="F24" i="3"/>
  <c r="E24" i="3"/>
  <c r="D24" i="3"/>
  <c r="C24" i="3"/>
  <c r="B24" i="3"/>
  <c r="G22" i="3"/>
  <c r="G24" i="3" s="1"/>
  <c r="F24" i="2" l="1"/>
  <c r="E24" i="2"/>
  <c r="D24" i="2"/>
  <c r="C24" i="2"/>
  <c r="B24" i="2"/>
  <c r="G22" i="2"/>
  <c r="G24" i="2" l="1"/>
  <c r="B22" i="14"/>
  <c r="C6" i="13"/>
  <c r="D6" i="13"/>
  <c r="E6" i="13" s="1"/>
  <c r="F6" i="13" s="1"/>
  <c r="C6" i="12"/>
  <c r="D6" i="12" s="1"/>
  <c r="E6" i="12" s="1"/>
  <c r="F6" i="12" s="1"/>
  <c r="C6" i="11"/>
  <c r="D6" i="11" s="1"/>
  <c r="E6" i="11" s="1"/>
  <c r="F6" i="11" s="1"/>
  <c r="C6" i="10"/>
  <c r="D6" i="10" s="1"/>
  <c r="E6" i="10" s="1"/>
  <c r="F6" i="10" s="1"/>
  <c r="C6" i="19"/>
  <c r="D6" i="19" s="1"/>
  <c r="E6" i="19" s="1"/>
  <c r="F6" i="19" s="1"/>
  <c r="C6" i="8"/>
  <c r="D6" i="8" s="1"/>
  <c r="E6" i="8" s="1"/>
  <c r="F6" i="8" s="1"/>
  <c r="C6" i="7"/>
  <c r="D6" i="7" s="1"/>
  <c r="E6" i="7" s="1"/>
  <c r="F6" i="7" s="1"/>
  <c r="C6" i="6"/>
  <c r="D6" i="6" s="1"/>
  <c r="E6" i="6" s="1"/>
  <c r="F6" i="6" s="1"/>
  <c r="C6" i="5"/>
  <c r="D6" i="5" s="1"/>
  <c r="E6" i="5" s="1"/>
  <c r="F6" i="5" s="1"/>
  <c r="C6" i="4"/>
  <c r="D6" i="4" s="1"/>
  <c r="E6" i="4" s="1"/>
  <c r="F6" i="4" s="1"/>
  <c r="C6" i="3"/>
  <c r="D6" i="3" s="1"/>
  <c r="E6" i="3" s="1"/>
  <c r="F6" i="3" s="1"/>
  <c r="C6" i="2"/>
  <c r="D6" i="2" s="1"/>
  <c r="E6" i="2" s="1"/>
  <c r="F6" i="2" s="1"/>
  <c r="D22" i="17" l="1"/>
  <c r="C22" i="17"/>
  <c r="B22" i="17"/>
  <c r="E22" i="17" s="1"/>
  <c r="E22" i="18" s="1"/>
  <c r="B24" i="16"/>
  <c r="E22" i="16"/>
  <c r="D22" i="18" s="1"/>
  <c r="D22" i="16"/>
  <c r="C22" i="16"/>
  <c r="B22" i="16"/>
  <c r="D23" i="15"/>
  <c r="C23" i="15"/>
  <c r="B24" i="15"/>
  <c r="D22" i="15"/>
  <c r="C22" i="15"/>
  <c r="B22" i="15"/>
  <c r="D23" i="14"/>
  <c r="C23" i="14"/>
  <c r="D22" i="14"/>
  <c r="C22" i="14"/>
  <c r="E23" i="15" l="1"/>
  <c r="E22" i="15"/>
  <c r="C22" i="18" s="1"/>
  <c r="E22" i="14"/>
  <c r="B22" i="18" s="1"/>
  <c r="E23" i="14"/>
  <c r="B23" i="18" s="1"/>
  <c r="F26" i="13"/>
  <c r="E26" i="13"/>
  <c r="D26" i="13"/>
  <c r="C26" i="13"/>
  <c r="B26" i="13"/>
  <c r="G25" i="13"/>
  <c r="G26" i="13" s="1"/>
  <c r="F19" i="13"/>
  <c r="F20" i="13" s="1"/>
  <c r="E19" i="13"/>
  <c r="E20" i="13" s="1"/>
  <c r="D19" i="13"/>
  <c r="D20" i="13" s="1"/>
  <c r="C19" i="13"/>
  <c r="C20" i="13" s="1"/>
  <c r="B19" i="13"/>
  <c r="B20" i="13" s="1"/>
  <c r="G18" i="13"/>
  <c r="G19" i="13" s="1"/>
  <c r="G20" i="13" s="1"/>
  <c r="F15" i="13"/>
  <c r="F16" i="13" s="1"/>
  <c r="E15" i="13"/>
  <c r="E16" i="13" s="1"/>
  <c r="D15" i="13"/>
  <c r="D16" i="13" s="1"/>
  <c r="C15" i="13"/>
  <c r="C16" i="13" s="1"/>
  <c r="B15" i="13"/>
  <c r="B16" i="13" s="1"/>
  <c r="G14" i="13"/>
  <c r="G13" i="13" s="1"/>
  <c r="F10" i="13"/>
  <c r="F11" i="13" s="1"/>
  <c r="E10" i="13"/>
  <c r="E11" i="13" s="1"/>
  <c r="D10" i="13"/>
  <c r="D11" i="13" s="1"/>
  <c r="C10" i="13"/>
  <c r="C11" i="13" s="1"/>
  <c r="B10" i="13"/>
  <c r="B11" i="13" s="1"/>
  <c r="F9" i="13"/>
  <c r="E9" i="13"/>
  <c r="D9" i="13"/>
  <c r="C9" i="13"/>
  <c r="B9" i="13"/>
  <c r="G8" i="13"/>
  <c r="G7" i="13"/>
  <c r="G5" i="13"/>
  <c r="F26" i="12"/>
  <c r="E26" i="12"/>
  <c r="D26" i="12"/>
  <c r="C26" i="12"/>
  <c r="B26" i="12"/>
  <c r="G25" i="12"/>
  <c r="G26" i="12" s="1"/>
  <c r="F19" i="12"/>
  <c r="F20" i="12" s="1"/>
  <c r="E19" i="12"/>
  <c r="E20" i="12" s="1"/>
  <c r="D19" i="12"/>
  <c r="D20" i="12" s="1"/>
  <c r="C19" i="12"/>
  <c r="C20" i="12" s="1"/>
  <c r="B19" i="12"/>
  <c r="B20" i="12" s="1"/>
  <c r="G18" i="12"/>
  <c r="F15" i="12"/>
  <c r="F16" i="12" s="1"/>
  <c r="E15" i="12"/>
  <c r="E16" i="12" s="1"/>
  <c r="D15" i="12"/>
  <c r="D16" i="12" s="1"/>
  <c r="C15" i="12"/>
  <c r="C16" i="12" s="1"/>
  <c r="B15" i="12"/>
  <c r="B16" i="12" s="1"/>
  <c r="G14" i="12"/>
  <c r="G13" i="12" s="1"/>
  <c r="F10" i="12"/>
  <c r="F11" i="12" s="1"/>
  <c r="E10" i="12"/>
  <c r="E11" i="12" s="1"/>
  <c r="D10" i="12"/>
  <c r="D11" i="12" s="1"/>
  <c r="C10" i="12"/>
  <c r="C11" i="12" s="1"/>
  <c r="B10" i="12"/>
  <c r="B11" i="12" s="1"/>
  <c r="F9" i="12"/>
  <c r="E9" i="12"/>
  <c r="D9" i="12"/>
  <c r="C9" i="12"/>
  <c r="B9" i="12"/>
  <c r="G8" i="12"/>
  <c r="G7" i="12"/>
  <c r="G5" i="12"/>
  <c r="F26" i="11"/>
  <c r="E26" i="11"/>
  <c r="D26" i="11"/>
  <c r="C26" i="11"/>
  <c r="B26" i="11"/>
  <c r="G25" i="11"/>
  <c r="G26" i="11" s="1"/>
  <c r="F19" i="11"/>
  <c r="F20" i="11" s="1"/>
  <c r="E19" i="11"/>
  <c r="E20" i="11" s="1"/>
  <c r="D19" i="11"/>
  <c r="D20" i="11" s="1"/>
  <c r="C19" i="11"/>
  <c r="C20" i="11" s="1"/>
  <c r="B19" i="11"/>
  <c r="B20" i="11" s="1"/>
  <c r="G18" i="11"/>
  <c r="F15" i="11"/>
  <c r="F16" i="11" s="1"/>
  <c r="E15" i="11"/>
  <c r="E16" i="11" s="1"/>
  <c r="D15" i="11"/>
  <c r="D16" i="11" s="1"/>
  <c r="C15" i="11"/>
  <c r="C16" i="11" s="1"/>
  <c r="B15" i="11"/>
  <c r="B16" i="11" s="1"/>
  <c r="G14" i="11"/>
  <c r="G13" i="11" s="1"/>
  <c r="F10" i="11"/>
  <c r="F11" i="11" s="1"/>
  <c r="E10" i="11"/>
  <c r="E11" i="11" s="1"/>
  <c r="D10" i="11"/>
  <c r="D11" i="11" s="1"/>
  <c r="C10" i="11"/>
  <c r="C11" i="11" s="1"/>
  <c r="B10" i="11"/>
  <c r="B11" i="11" s="1"/>
  <c r="F9" i="11"/>
  <c r="E9" i="11"/>
  <c r="D9" i="11"/>
  <c r="C9" i="11"/>
  <c r="B9" i="11"/>
  <c r="G8" i="11"/>
  <c r="G7" i="11"/>
  <c r="G10" i="11" s="1"/>
  <c r="G11" i="11" s="1"/>
  <c r="G12" i="11" s="1"/>
  <c r="G5" i="11"/>
  <c r="F26" i="10"/>
  <c r="E26" i="10"/>
  <c r="D26" i="10"/>
  <c r="C26" i="10"/>
  <c r="B26" i="10"/>
  <c r="G25" i="10"/>
  <c r="G26" i="10" s="1"/>
  <c r="F19" i="10"/>
  <c r="F20" i="10" s="1"/>
  <c r="E19" i="10"/>
  <c r="E20" i="10" s="1"/>
  <c r="D19" i="10"/>
  <c r="D20" i="10" s="1"/>
  <c r="C19" i="10"/>
  <c r="C20" i="10" s="1"/>
  <c r="B19" i="10"/>
  <c r="B20" i="10" s="1"/>
  <c r="G18" i="10"/>
  <c r="F15" i="10"/>
  <c r="F16" i="10" s="1"/>
  <c r="E15" i="10"/>
  <c r="E16" i="10" s="1"/>
  <c r="D15" i="10"/>
  <c r="D16" i="10" s="1"/>
  <c r="C15" i="10"/>
  <c r="C16" i="10" s="1"/>
  <c r="B15" i="10"/>
  <c r="B16" i="10" s="1"/>
  <c r="G14" i="10"/>
  <c r="G13" i="10" s="1"/>
  <c r="F10" i="10"/>
  <c r="F11" i="10" s="1"/>
  <c r="E10" i="10"/>
  <c r="E11" i="10" s="1"/>
  <c r="D10" i="10"/>
  <c r="D11" i="10" s="1"/>
  <c r="C10" i="10"/>
  <c r="C11" i="10" s="1"/>
  <c r="B10" i="10"/>
  <c r="B11" i="10" s="1"/>
  <c r="F9" i="10"/>
  <c r="E9" i="10"/>
  <c r="D9" i="10"/>
  <c r="C9" i="10"/>
  <c r="B9" i="10"/>
  <c r="G8" i="10"/>
  <c r="G7" i="10"/>
  <c r="G5" i="10"/>
  <c r="F26" i="19"/>
  <c r="E26" i="19"/>
  <c r="D26" i="19"/>
  <c r="C26" i="19"/>
  <c r="B26" i="19"/>
  <c r="G25" i="19"/>
  <c r="G26" i="19" s="1"/>
  <c r="F19" i="19"/>
  <c r="F20" i="19" s="1"/>
  <c r="E19" i="19"/>
  <c r="E20" i="19" s="1"/>
  <c r="D19" i="19"/>
  <c r="D20" i="19" s="1"/>
  <c r="C19" i="19"/>
  <c r="C20" i="19" s="1"/>
  <c r="B19" i="19"/>
  <c r="B20" i="19" s="1"/>
  <c r="G18" i="19"/>
  <c r="G19" i="19" s="1"/>
  <c r="G20" i="19" s="1"/>
  <c r="F15" i="19"/>
  <c r="F16" i="19" s="1"/>
  <c r="E15" i="19"/>
  <c r="E16" i="19" s="1"/>
  <c r="D15" i="19"/>
  <c r="D16" i="19" s="1"/>
  <c r="C15" i="19"/>
  <c r="C16" i="19" s="1"/>
  <c r="B15" i="19"/>
  <c r="B16" i="19" s="1"/>
  <c r="G14" i="19"/>
  <c r="G13" i="19" s="1"/>
  <c r="F10" i="19"/>
  <c r="F11" i="19" s="1"/>
  <c r="E10" i="19"/>
  <c r="E11" i="19" s="1"/>
  <c r="D10" i="19"/>
  <c r="D11" i="19" s="1"/>
  <c r="C10" i="19"/>
  <c r="C11" i="19" s="1"/>
  <c r="B10" i="19"/>
  <c r="B11" i="19" s="1"/>
  <c r="F9" i="19"/>
  <c r="E9" i="19"/>
  <c r="D9" i="19"/>
  <c r="C9" i="19"/>
  <c r="B9" i="19"/>
  <c r="G8" i="19"/>
  <c r="G7" i="19"/>
  <c r="G5" i="19"/>
  <c r="F26" i="8"/>
  <c r="E26" i="8"/>
  <c r="D26" i="8"/>
  <c r="C26" i="8"/>
  <c r="B26" i="8"/>
  <c r="G25" i="8"/>
  <c r="G26" i="8" s="1"/>
  <c r="F19" i="8"/>
  <c r="F20" i="8" s="1"/>
  <c r="E19" i="8"/>
  <c r="E20" i="8" s="1"/>
  <c r="D19" i="8"/>
  <c r="D20" i="8" s="1"/>
  <c r="C19" i="8"/>
  <c r="C20" i="8" s="1"/>
  <c r="B19" i="8"/>
  <c r="B20" i="8" s="1"/>
  <c r="G18" i="8"/>
  <c r="F15" i="8"/>
  <c r="F16" i="8" s="1"/>
  <c r="E15" i="8"/>
  <c r="E16" i="8" s="1"/>
  <c r="D15" i="8"/>
  <c r="D16" i="8" s="1"/>
  <c r="C15" i="8"/>
  <c r="C16" i="8" s="1"/>
  <c r="B15" i="8"/>
  <c r="B16" i="8" s="1"/>
  <c r="G14" i="8"/>
  <c r="G13" i="8" s="1"/>
  <c r="F10" i="8"/>
  <c r="F11" i="8" s="1"/>
  <c r="E10" i="8"/>
  <c r="E11" i="8" s="1"/>
  <c r="D10" i="8"/>
  <c r="D11" i="8" s="1"/>
  <c r="C10" i="8"/>
  <c r="C11" i="8" s="1"/>
  <c r="B10" i="8"/>
  <c r="B11" i="8" s="1"/>
  <c r="F9" i="8"/>
  <c r="E9" i="8"/>
  <c r="D9" i="8"/>
  <c r="C9" i="8"/>
  <c r="B9" i="8"/>
  <c r="G8" i="8"/>
  <c r="G7" i="8"/>
  <c r="G5" i="8"/>
  <c r="F26" i="7"/>
  <c r="E26" i="7"/>
  <c r="D26" i="7"/>
  <c r="C26" i="7"/>
  <c r="B26" i="7"/>
  <c r="G25" i="7"/>
  <c r="G26" i="7" s="1"/>
  <c r="F19" i="7"/>
  <c r="F20" i="7" s="1"/>
  <c r="E19" i="7"/>
  <c r="E20" i="7" s="1"/>
  <c r="D19" i="7"/>
  <c r="D20" i="7" s="1"/>
  <c r="C19" i="7"/>
  <c r="C20" i="7" s="1"/>
  <c r="B19" i="7"/>
  <c r="B20" i="7" s="1"/>
  <c r="G18" i="7"/>
  <c r="F15" i="7"/>
  <c r="F16" i="7" s="1"/>
  <c r="E15" i="7"/>
  <c r="E16" i="7" s="1"/>
  <c r="D15" i="7"/>
  <c r="D16" i="7" s="1"/>
  <c r="C15" i="7"/>
  <c r="C16" i="7" s="1"/>
  <c r="B15" i="7"/>
  <c r="B16" i="7" s="1"/>
  <c r="G14" i="7"/>
  <c r="G13" i="7" s="1"/>
  <c r="F10" i="7"/>
  <c r="F11" i="7" s="1"/>
  <c r="E10" i="7"/>
  <c r="E11" i="7" s="1"/>
  <c r="D10" i="7"/>
  <c r="D11" i="7" s="1"/>
  <c r="C10" i="7"/>
  <c r="C11" i="7" s="1"/>
  <c r="B10" i="7"/>
  <c r="B11" i="7" s="1"/>
  <c r="F9" i="7"/>
  <c r="E9" i="7"/>
  <c r="D9" i="7"/>
  <c r="C9" i="7"/>
  <c r="B9" i="7"/>
  <c r="G8" i="7"/>
  <c r="G7" i="7"/>
  <c r="G5" i="7"/>
  <c r="F26" i="6"/>
  <c r="E26" i="6"/>
  <c r="D26" i="6"/>
  <c r="C26" i="6"/>
  <c r="B26" i="6"/>
  <c r="G25" i="6"/>
  <c r="G26" i="6" s="1"/>
  <c r="F19" i="6"/>
  <c r="F20" i="6" s="1"/>
  <c r="E19" i="6"/>
  <c r="E20" i="6" s="1"/>
  <c r="D19" i="6"/>
  <c r="D20" i="6" s="1"/>
  <c r="C19" i="6"/>
  <c r="C20" i="6" s="1"/>
  <c r="B19" i="6"/>
  <c r="B20" i="6" s="1"/>
  <c r="G18" i="6"/>
  <c r="F15" i="6"/>
  <c r="F16" i="6" s="1"/>
  <c r="E15" i="6"/>
  <c r="E16" i="6" s="1"/>
  <c r="D15" i="6"/>
  <c r="D16" i="6" s="1"/>
  <c r="C15" i="6"/>
  <c r="C16" i="6" s="1"/>
  <c r="B15" i="6"/>
  <c r="B16" i="6" s="1"/>
  <c r="G14" i="6"/>
  <c r="G13" i="6" s="1"/>
  <c r="F10" i="6"/>
  <c r="F11" i="6" s="1"/>
  <c r="E10" i="6"/>
  <c r="E11" i="6" s="1"/>
  <c r="D10" i="6"/>
  <c r="D11" i="6" s="1"/>
  <c r="C10" i="6"/>
  <c r="C11" i="6" s="1"/>
  <c r="B10" i="6"/>
  <c r="B11" i="6" s="1"/>
  <c r="F9" i="6"/>
  <c r="E9" i="6"/>
  <c r="D9" i="6"/>
  <c r="C9" i="6"/>
  <c r="B9" i="6"/>
  <c r="G8" i="6"/>
  <c r="G7" i="6"/>
  <c r="G5" i="6"/>
  <c r="F26" i="5"/>
  <c r="E26" i="5"/>
  <c r="D26" i="5"/>
  <c r="C26" i="5"/>
  <c r="B26" i="5"/>
  <c r="G25" i="5"/>
  <c r="G26" i="5" s="1"/>
  <c r="F19" i="5"/>
  <c r="F20" i="5" s="1"/>
  <c r="E19" i="5"/>
  <c r="E20" i="5" s="1"/>
  <c r="D19" i="5"/>
  <c r="D20" i="5" s="1"/>
  <c r="C19" i="5"/>
  <c r="C20" i="5" s="1"/>
  <c r="B19" i="5"/>
  <c r="B20" i="5" s="1"/>
  <c r="G18" i="5"/>
  <c r="F15" i="5"/>
  <c r="F16" i="5" s="1"/>
  <c r="E15" i="5"/>
  <c r="E16" i="5" s="1"/>
  <c r="D15" i="5"/>
  <c r="D16" i="5" s="1"/>
  <c r="C15" i="5"/>
  <c r="C16" i="5" s="1"/>
  <c r="B15" i="5"/>
  <c r="B16" i="5" s="1"/>
  <c r="G14" i="5"/>
  <c r="G13" i="5" s="1"/>
  <c r="F10" i="5"/>
  <c r="F11" i="5" s="1"/>
  <c r="E10" i="5"/>
  <c r="E11" i="5" s="1"/>
  <c r="D10" i="5"/>
  <c r="D11" i="5" s="1"/>
  <c r="C10" i="5"/>
  <c r="C11" i="5" s="1"/>
  <c r="B10" i="5"/>
  <c r="B11" i="5" s="1"/>
  <c r="F9" i="5"/>
  <c r="E9" i="5"/>
  <c r="D9" i="5"/>
  <c r="C9" i="5"/>
  <c r="B9" i="5"/>
  <c r="G8" i="5"/>
  <c r="G7" i="5"/>
  <c r="G5" i="5"/>
  <c r="F26" i="4"/>
  <c r="E26" i="4"/>
  <c r="D26" i="4"/>
  <c r="C26" i="4"/>
  <c r="B26" i="4"/>
  <c r="G25" i="4"/>
  <c r="G26" i="4" s="1"/>
  <c r="F19" i="4"/>
  <c r="F20" i="4" s="1"/>
  <c r="E19" i="4"/>
  <c r="E20" i="4" s="1"/>
  <c r="D19" i="4"/>
  <c r="D20" i="4" s="1"/>
  <c r="C19" i="4"/>
  <c r="C20" i="4" s="1"/>
  <c r="B19" i="4"/>
  <c r="B20" i="4" s="1"/>
  <c r="G18" i="4"/>
  <c r="F15" i="4"/>
  <c r="F16" i="4" s="1"/>
  <c r="E15" i="4"/>
  <c r="E16" i="4" s="1"/>
  <c r="D15" i="4"/>
  <c r="D16" i="4" s="1"/>
  <c r="C15" i="4"/>
  <c r="C16" i="4" s="1"/>
  <c r="B15" i="4"/>
  <c r="B16" i="4" s="1"/>
  <c r="G14" i="4"/>
  <c r="G13" i="4" s="1"/>
  <c r="F10" i="4"/>
  <c r="F11" i="4" s="1"/>
  <c r="E10" i="4"/>
  <c r="E11" i="4" s="1"/>
  <c r="D10" i="4"/>
  <c r="D11" i="4" s="1"/>
  <c r="C10" i="4"/>
  <c r="C11" i="4" s="1"/>
  <c r="B10" i="4"/>
  <c r="B11" i="4" s="1"/>
  <c r="F9" i="4"/>
  <c r="E9" i="4"/>
  <c r="D9" i="4"/>
  <c r="C9" i="4"/>
  <c r="B9" i="4"/>
  <c r="G8" i="4"/>
  <c r="G7" i="4"/>
  <c r="G5" i="4"/>
  <c r="F26" i="3"/>
  <c r="E26" i="3"/>
  <c r="D26" i="3"/>
  <c r="C26" i="3"/>
  <c r="B26" i="3"/>
  <c r="G25" i="3"/>
  <c r="G26" i="3" s="1"/>
  <c r="F19" i="3"/>
  <c r="F20" i="3" s="1"/>
  <c r="E19" i="3"/>
  <c r="E20" i="3" s="1"/>
  <c r="D19" i="3"/>
  <c r="D20" i="3" s="1"/>
  <c r="C19" i="3"/>
  <c r="C20" i="3" s="1"/>
  <c r="B19" i="3"/>
  <c r="B20" i="3" s="1"/>
  <c r="G18" i="3"/>
  <c r="F15" i="3"/>
  <c r="F16" i="3" s="1"/>
  <c r="E15" i="3"/>
  <c r="E16" i="3" s="1"/>
  <c r="D15" i="3"/>
  <c r="D16" i="3" s="1"/>
  <c r="C15" i="3"/>
  <c r="C16" i="3" s="1"/>
  <c r="B15" i="3"/>
  <c r="B16" i="3" s="1"/>
  <c r="G14" i="3"/>
  <c r="G13" i="3" s="1"/>
  <c r="F10" i="3"/>
  <c r="F11" i="3" s="1"/>
  <c r="E10" i="3"/>
  <c r="E11" i="3" s="1"/>
  <c r="D10" i="3"/>
  <c r="D11" i="3" s="1"/>
  <c r="C10" i="3"/>
  <c r="C11" i="3" s="1"/>
  <c r="B10" i="3"/>
  <c r="B11" i="3" s="1"/>
  <c r="F9" i="3"/>
  <c r="E9" i="3"/>
  <c r="D9" i="3"/>
  <c r="C9" i="3"/>
  <c r="B9" i="3"/>
  <c r="G8" i="3"/>
  <c r="G7" i="3"/>
  <c r="G5" i="3"/>
  <c r="G10" i="7" l="1"/>
  <c r="G11" i="7" s="1"/>
  <c r="G12" i="7" s="1"/>
  <c r="F22" i="18"/>
  <c r="G19" i="5"/>
  <c r="G20" i="5" s="1"/>
  <c r="G21" i="5" s="1"/>
  <c r="G10" i="3"/>
  <c r="G11" i="3" s="1"/>
  <c r="G12" i="3" s="1"/>
  <c r="G9" i="3"/>
  <c r="G15" i="3"/>
  <c r="G16" i="3" s="1"/>
  <c r="G17" i="3" s="1"/>
  <c r="G15" i="7"/>
  <c r="G16" i="7" s="1"/>
  <c r="G17" i="7" s="1"/>
  <c r="G19" i="4"/>
  <c r="G20" i="4" s="1"/>
  <c r="G21" i="4" s="1"/>
  <c r="G10" i="6"/>
  <c r="G11" i="6" s="1"/>
  <c r="G12" i="6" s="1"/>
  <c r="G15" i="6"/>
  <c r="G16" i="6" s="1"/>
  <c r="G17" i="6" s="1"/>
  <c r="G19" i="8"/>
  <c r="G20" i="8" s="1"/>
  <c r="G10" i="10"/>
  <c r="G11" i="10" s="1"/>
  <c r="G12" i="10" s="1"/>
  <c r="G15" i="10"/>
  <c r="G16" i="10" s="1"/>
  <c r="G17" i="10" s="1"/>
  <c r="G19" i="12"/>
  <c r="G20" i="12" s="1"/>
  <c r="G21" i="12" s="1"/>
  <c r="G15" i="11"/>
  <c r="G16" i="11" s="1"/>
  <c r="G17" i="11" s="1"/>
  <c r="G19" i="3"/>
  <c r="G20" i="3" s="1"/>
  <c r="G10" i="5"/>
  <c r="G11" i="5" s="1"/>
  <c r="G12" i="5" s="1"/>
  <c r="G15" i="5"/>
  <c r="G16" i="5" s="1"/>
  <c r="G17" i="5" s="1"/>
  <c r="G19" i="7"/>
  <c r="G20" i="7" s="1"/>
  <c r="G21" i="7" s="1"/>
  <c r="G10" i="19"/>
  <c r="G11" i="19" s="1"/>
  <c r="G12" i="19" s="1"/>
  <c r="G15" i="19"/>
  <c r="G16" i="19" s="1"/>
  <c r="G17" i="19" s="1"/>
  <c r="G19" i="11"/>
  <c r="G20" i="11" s="1"/>
  <c r="G21" i="11" s="1"/>
  <c r="G10" i="13"/>
  <c r="G11" i="13" s="1"/>
  <c r="G12" i="13" s="1"/>
  <c r="G15" i="13"/>
  <c r="G16" i="13" s="1"/>
  <c r="G17" i="13" s="1"/>
  <c r="G10" i="4"/>
  <c r="G11" i="4" s="1"/>
  <c r="G12" i="4" s="1"/>
  <c r="G15" i="4"/>
  <c r="G16" i="4" s="1"/>
  <c r="G17" i="4" s="1"/>
  <c r="G19" i="6"/>
  <c r="G20" i="6" s="1"/>
  <c r="G10" i="8"/>
  <c r="G11" i="8" s="1"/>
  <c r="G12" i="8" s="1"/>
  <c r="G15" i="8"/>
  <c r="G16" i="8" s="1"/>
  <c r="G17" i="8" s="1"/>
  <c r="G19" i="10"/>
  <c r="G20" i="10" s="1"/>
  <c r="G29" i="10" s="1"/>
  <c r="G10" i="12"/>
  <c r="G11" i="12" s="1"/>
  <c r="G12" i="12" s="1"/>
  <c r="G15" i="12"/>
  <c r="G16" i="12" s="1"/>
  <c r="G17" i="12" s="1"/>
  <c r="G21" i="13"/>
  <c r="G29" i="13"/>
  <c r="G9" i="13"/>
  <c r="G9" i="12"/>
  <c r="G9" i="11"/>
  <c r="G21" i="10"/>
  <c r="G9" i="10"/>
  <c r="G21" i="19"/>
  <c r="G29" i="19"/>
  <c r="G9" i="19"/>
  <c r="G21" i="8"/>
  <c r="G9" i="8"/>
  <c r="G9" i="7"/>
  <c r="G21" i="6"/>
  <c r="G9" i="6"/>
  <c r="G9" i="5"/>
  <c r="G9" i="4"/>
  <c r="G21" i="3"/>
  <c r="G29" i="12" l="1"/>
  <c r="G29" i="11"/>
  <c r="C30" i="13"/>
  <c r="C29" i="13"/>
  <c r="C30" i="12"/>
  <c r="C29" i="12"/>
  <c r="C30" i="11"/>
  <c r="C29" i="11"/>
  <c r="C30" i="10"/>
  <c r="C29" i="10"/>
  <c r="C30" i="19"/>
  <c r="C29" i="19"/>
  <c r="B7" i="17" l="1"/>
  <c r="D26" i="17"/>
  <c r="C26" i="17"/>
  <c r="B26" i="17"/>
  <c r="D25" i="17"/>
  <c r="C25" i="17"/>
  <c r="B25" i="17"/>
  <c r="D24" i="17"/>
  <c r="C24" i="17"/>
  <c r="B24" i="17"/>
  <c r="D23" i="17"/>
  <c r="C23" i="17"/>
  <c r="B23" i="17"/>
  <c r="D20" i="17"/>
  <c r="C20" i="17"/>
  <c r="B20" i="17"/>
  <c r="D19" i="17"/>
  <c r="C19" i="17"/>
  <c r="B19" i="17"/>
  <c r="D18" i="17"/>
  <c r="C18" i="17"/>
  <c r="B18" i="17"/>
  <c r="D16" i="17"/>
  <c r="C16" i="17"/>
  <c r="B16" i="17"/>
  <c r="D15" i="17"/>
  <c r="C15" i="17"/>
  <c r="B15" i="17"/>
  <c r="D14" i="17"/>
  <c r="C14" i="17"/>
  <c r="B14" i="17"/>
  <c r="D13" i="17"/>
  <c r="C13" i="17"/>
  <c r="B13" i="17"/>
  <c r="D9" i="17"/>
  <c r="C9" i="17"/>
  <c r="B9" i="17"/>
  <c r="D8" i="17"/>
  <c r="C8" i="17"/>
  <c r="B8" i="17"/>
  <c r="D7" i="17"/>
  <c r="C7" i="17"/>
  <c r="D26" i="16"/>
  <c r="C26" i="16"/>
  <c r="B26" i="16"/>
  <c r="D25" i="16"/>
  <c r="C25" i="16"/>
  <c r="B25" i="16"/>
  <c r="E25" i="16" s="1"/>
  <c r="E26" i="16" s="1"/>
  <c r="D26" i="18" s="1"/>
  <c r="D24" i="16"/>
  <c r="C24" i="16"/>
  <c r="E24" i="16" s="1"/>
  <c r="D23" i="16"/>
  <c r="C23" i="16"/>
  <c r="B23" i="16"/>
  <c r="C20" i="16"/>
  <c r="C19" i="16"/>
  <c r="D18" i="16"/>
  <c r="C18" i="16"/>
  <c r="B18" i="16"/>
  <c r="C16" i="16"/>
  <c r="C15" i="16"/>
  <c r="D14" i="16"/>
  <c r="C14" i="16"/>
  <c r="B14" i="16"/>
  <c r="E14" i="16" s="1"/>
  <c r="D14" i="18" s="1"/>
  <c r="D13" i="16"/>
  <c r="C13" i="16"/>
  <c r="B13" i="16"/>
  <c r="C9" i="16"/>
  <c r="D8" i="16"/>
  <c r="C8" i="16"/>
  <c r="B8" i="16"/>
  <c r="D7" i="16"/>
  <c r="C7" i="16"/>
  <c r="B7" i="16"/>
  <c r="D26" i="15"/>
  <c r="C26" i="15"/>
  <c r="D25" i="15"/>
  <c r="C25" i="15"/>
  <c r="D24" i="15"/>
  <c r="C24" i="15"/>
  <c r="D20" i="15"/>
  <c r="C20" i="15"/>
  <c r="D19" i="15"/>
  <c r="C19" i="15"/>
  <c r="D18" i="15"/>
  <c r="C18" i="15"/>
  <c r="D16" i="15"/>
  <c r="C16" i="15"/>
  <c r="D15" i="15"/>
  <c r="C15" i="15"/>
  <c r="D14" i="15"/>
  <c r="C14" i="15"/>
  <c r="D13" i="15"/>
  <c r="C13" i="15"/>
  <c r="D9" i="15"/>
  <c r="C9" i="15"/>
  <c r="D8" i="15"/>
  <c r="C8" i="15"/>
  <c r="D7" i="15"/>
  <c r="C7" i="15"/>
  <c r="A26" i="17"/>
  <c r="A25" i="17"/>
  <c r="A24" i="17"/>
  <c r="A23" i="17"/>
  <c r="A21" i="17"/>
  <c r="A20" i="17"/>
  <c r="A19" i="17"/>
  <c r="A18" i="17"/>
  <c r="A17" i="17"/>
  <c r="A16" i="17"/>
  <c r="A15" i="17"/>
  <c r="A14" i="17"/>
  <c r="E13" i="17"/>
  <c r="E13" i="18" s="1"/>
  <c r="A13" i="17"/>
  <c r="A12" i="17"/>
  <c r="A11" i="17"/>
  <c r="A10" i="17"/>
  <c r="A9" i="17"/>
  <c r="A8" i="17"/>
  <c r="A7" i="17"/>
  <c r="A6" i="17"/>
  <c r="A5" i="17"/>
  <c r="A26" i="16"/>
  <c r="A25" i="16"/>
  <c r="A24" i="16"/>
  <c r="A23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26" i="15"/>
  <c r="A25" i="15"/>
  <c r="A24" i="15"/>
  <c r="A23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17" i="14"/>
  <c r="E24" i="17" l="1"/>
  <c r="E14" i="17"/>
  <c r="E14" i="18" s="1"/>
  <c r="E24" i="15"/>
  <c r="C24" i="18" s="1"/>
  <c r="E23" i="17"/>
  <c r="E23" i="18" s="1"/>
  <c r="E23" i="16"/>
  <c r="E13" i="16"/>
  <c r="D13" i="18" s="1"/>
  <c r="E24" i="18"/>
  <c r="E25" i="17"/>
  <c r="E26" i="17" s="1"/>
  <c r="E26" i="18" s="1"/>
  <c r="E7" i="17"/>
  <c r="E7" i="18" s="1"/>
  <c r="E8" i="17"/>
  <c r="F8" i="17" s="1"/>
  <c r="E6" i="17" s="1"/>
  <c r="E18" i="17"/>
  <c r="E18" i="18" s="1"/>
  <c r="E25" i="18"/>
  <c r="E8" i="18"/>
  <c r="D24" i="18"/>
  <c r="E8" i="16"/>
  <c r="F8" i="16" s="1"/>
  <c r="E6" i="16" s="1"/>
  <c r="D25" i="18"/>
  <c r="E18" i="16"/>
  <c r="D18" i="18" s="1"/>
  <c r="D23" i="18"/>
  <c r="C23" i="18"/>
  <c r="E7" i="16"/>
  <c r="D7" i="18" s="1"/>
  <c r="E15" i="17"/>
  <c r="E19" i="17" l="1"/>
  <c r="F23" i="18"/>
  <c r="E9" i="17"/>
  <c r="E9" i="18" s="1"/>
  <c r="E19" i="16"/>
  <c r="E20" i="16" s="1"/>
  <c r="D20" i="18" s="1"/>
  <c r="E20" i="17"/>
  <c r="E20" i="18" s="1"/>
  <c r="E19" i="18"/>
  <c r="E16" i="17"/>
  <c r="E16" i="18" s="1"/>
  <c r="E15" i="18"/>
  <c r="D8" i="18"/>
  <c r="E15" i="16"/>
  <c r="D15" i="18" s="1"/>
  <c r="E9" i="16"/>
  <c r="D9" i="18" s="1"/>
  <c r="E16" i="16"/>
  <c r="D16" i="18" s="1"/>
  <c r="A6" i="14"/>
  <c r="A7" i="14"/>
  <c r="A8" i="14"/>
  <c r="A9" i="14"/>
  <c r="A10" i="14"/>
  <c r="A11" i="14"/>
  <c r="A12" i="14"/>
  <c r="A13" i="14"/>
  <c r="A14" i="14"/>
  <c r="A15" i="14"/>
  <c r="A16" i="14"/>
  <c r="A18" i="14"/>
  <c r="A19" i="14"/>
  <c r="A20" i="14"/>
  <c r="A21" i="14"/>
  <c r="A23" i="14"/>
  <c r="A24" i="14"/>
  <c r="A25" i="14"/>
  <c r="A26" i="14"/>
  <c r="A5" i="14"/>
  <c r="D19" i="18" l="1"/>
  <c r="B1" i="19"/>
  <c r="D1" i="19"/>
  <c r="H25" i="19"/>
  <c r="K11" i="19"/>
  <c r="K10" i="19"/>
  <c r="K9" i="19"/>
  <c r="H8" i="19"/>
  <c r="C5" i="16"/>
  <c r="C9" i="2"/>
  <c r="B9" i="2"/>
  <c r="C17" i="16" l="1"/>
  <c r="C10" i="16"/>
  <c r="C21" i="16"/>
  <c r="H25" i="13"/>
  <c r="K11" i="13"/>
  <c r="K10" i="13"/>
  <c r="K9" i="13"/>
  <c r="H8" i="13"/>
  <c r="D5" i="17"/>
  <c r="H25" i="12"/>
  <c r="K11" i="12"/>
  <c r="K10" i="12"/>
  <c r="K9" i="12"/>
  <c r="H8" i="12"/>
  <c r="C5" i="17"/>
  <c r="H25" i="11"/>
  <c r="K11" i="11"/>
  <c r="K10" i="11"/>
  <c r="K9" i="11"/>
  <c r="H8" i="11"/>
  <c r="B5" i="17"/>
  <c r="H25" i="10"/>
  <c r="K11" i="10"/>
  <c r="K10" i="10"/>
  <c r="K9" i="10"/>
  <c r="H8" i="10"/>
  <c r="D5" i="16"/>
  <c r="H25" i="8"/>
  <c r="K11" i="8"/>
  <c r="K10" i="8"/>
  <c r="K9" i="8"/>
  <c r="H8" i="8"/>
  <c r="B5" i="16"/>
  <c r="K11" i="7"/>
  <c r="K10" i="7"/>
  <c r="K9" i="7"/>
  <c r="H8" i="7"/>
  <c r="D5" i="15"/>
  <c r="H25" i="6"/>
  <c r="K11" i="6"/>
  <c r="K10" i="6"/>
  <c r="K9" i="6"/>
  <c r="H8" i="6"/>
  <c r="C5" i="15"/>
  <c r="B18" i="15"/>
  <c r="E18" i="15" s="1"/>
  <c r="C18" i="18" s="1"/>
  <c r="K11" i="5"/>
  <c r="K10" i="5"/>
  <c r="K9" i="5"/>
  <c r="B7" i="15"/>
  <c r="E7" i="15" s="1"/>
  <c r="B5" i="15"/>
  <c r="D14" i="14"/>
  <c r="C14" i="14"/>
  <c r="D26" i="14"/>
  <c r="K11" i="4"/>
  <c r="K10" i="4"/>
  <c r="K9" i="4"/>
  <c r="H8" i="4"/>
  <c r="C26" i="14"/>
  <c r="C24" i="14"/>
  <c r="K11" i="3"/>
  <c r="K10" i="3"/>
  <c r="K9" i="3"/>
  <c r="H8" i="3"/>
  <c r="G14" i="2"/>
  <c r="G13" i="2" s="1"/>
  <c r="E5" i="15" l="1"/>
  <c r="C5" i="18" s="1"/>
  <c r="E5" i="17"/>
  <c r="E5" i="18"/>
  <c r="E10" i="17"/>
  <c r="E5" i="16"/>
  <c r="D5" i="18" s="1"/>
  <c r="B25" i="15"/>
  <c r="E25" i="15" s="1"/>
  <c r="B13" i="15"/>
  <c r="E13" i="15" s="1"/>
  <c r="C13" i="18" s="1"/>
  <c r="B14" i="15"/>
  <c r="E14" i="15" s="1"/>
  <c r="C14" i="18" s="1"/>
  <c r="H8" i="5"/>
  <c r="B8" i="15"/>
  <c r="E8" i="15" s="1"/>
  <c r="C7" i="18"/>
  <c r="E9" i="15"/>
  <c r="C9" i="18" s="1"/>
  <c r="E19" i="15"/>
  <c r="H25" i="3"/>
  <c r="H9" i="19"/>
  <c r="C17" i="15"/>
  <c r="D17" i="15"/>
  <c r="B10" i="16"/>
  <c r="C11" i="16"/>
  <c r="H25" i="4"/>
  <c r="H25" i="7"/>
  <c r="C18" i="14"/>
  <c r="C25" i="14"/>
  <c r="D24" i="14"/>
  <c r="D25" i="14"/>
  <c r="B14" i="14"/>
  <c r="E14" i="14" s="1"/>
  <c r="B14" i="18" s="1"/>
  <c r="B19" i="16"/>
  <c r="D19" i="16"/>
  <c r="D18" i="14"/>
  <c r="D12" i="14"/>
  <c r="B15" i="16"/>
  <c r="D15" i="16"/>
  <c r="H9" i="13"/>
  <c r="H9" i="12"/>
  <c r="H9" i="11"/>
  <c r="D21" i="15"/>
  <c r="H9" i="7"/>
  <c r="C21" i="15"/>
  <c r="H9" i="6"/>
  <c r="C12" i="14"/>
  <c r="H9" i="4"/>
  <c r="H9" i="3"/>
  <c r="B19" i="2"/>
  <c r="G8" i="2"/>
  <c r="H8" i="2" s="1"/>
  <c r="E10" i="15" l="1"/>
  <c r="E11" i="15" s="1"/>
  <c r="C11" i="18" s="1"/>
  <c r="E15" i="15"/>
  <c r="E16" i="15" s="1"/>
  <c r="C16" i="18" s="1"/>
  <c r="E10" i="16"/>
  <c r="E11" i="16" s="1"/>
  <c r="D11" i="18" s="1"/>
  <c r="D10" i="17"/>
  <c r="C10" i="17"/>
  <c r="B10" i="17"/>
  <c r="E11" i="17"/>
  <c r="E11" i="18" s="1"/>
  <c r="E10" i="18"/>
  <c r="D10" i="18"/>
  <c r="D10" i="15"/>
  <c r="C10" i="15"/>
  <c r="B26" i="15"/>
  <c r="H25" i="5"/>
  <c r="D17" i="14"/>
  <c r="D16" i="14"/>
  <c r="C17" i="14"/>
  <c r="C16" i="14"/>
  <c r="H9" i="10"/>
  <c r="D9" i="16"/>
  <c r="D10" i="16"/>
  <c r="E26" i="15"/>
  <c r="C26" i="18" s="1"/>
  <c r="C25" i="18"/>
  <c r="F14" i="18"/>
  <c r="F8" i="15"/>
  <c r="E6" i="15" s="1"/>
  <c r="C8" i="18"/>
  <c r="H9" i="5"/>
  <c r="B9" i="15"/>
  <c r="B10" i="15"/>
  <c r="B19" i="15"/>
  <c r="B15" i="15"/>
  <c r="E20" i="15"/>
  <c r="C20" i="18" s="1"/>
  <c r="C19" i="18"/>
  <c r="H9" i="8"/>
  <c r="B9" i="16"/>
  <c r="D20" i="14"/>
  <c r="D19" i="14"/>
  <c r="C19" i="14"/>
  <c r="D15" i="14"/>
  <c r="C15" i="14"/>
  <c r="D20" i="16"/>
  <c r="B20" i="16"/>
  <c r="F29" i="18"/>
  <c r="J11" i="18"/>
  <c r="J10" i="18"/>
  <c r="J9" i="18"/>
  <c r="E1" i="18"/>
  <c r="B1" i="18"/>
  <c r="E29" i="17"/>
  <c r="D1" i="17"/>
  <c r="B1" i="17"/>
  <c r="E29" i="16"/>
  <c r="D1" i="16"/>
  <c r="B1" i="16"/>
  <c r="E29" i="15"/>
  <c r="D1" i="15"/>
  <c r="B1" i="15"/>
  <c r="G7" i="2"/>
  <c r="G5" i="2"/>
  <c r="D1" i="14"/>
  <c r="E29" i="14"/>
  <c r="D7" i="14"/>
  <c r="D8" i="14"/>
  <c r="D9" i="14"/>
  <c r="D11" i="14"/>
  <c r="D13" i="14"/>
  <c r="D5" i="14"/>
  <c r="C7" i="14"/>
  <c r="C8" i="14"/>
  <c r="C9" i="14"/>
  <c r="C10" i="14"/>
  <c r="C11" i="14"/>
  <c r="C13" i="14"/>
  <c r="C5" i="14"/>
  <c r="B8" i="14"/>
  <c r="B1" i="14"/>
  <c r="B20" i="2"/>
  <c r="D1" i="13"/>
  <c r="B1" i="13"/>
  <c r="D1" i="12"/>
  <c r="B1" i="12"/>
  <c r="D1" i="11"/>
  <c r="B1" i="11"/>
  <c r="D1" i="10"/>
  <c r="B1" i="10"/>
  <c r="D1" i="8"/>
  <c r="B1" i="8"/>
  <c r="D1" i="7"/>
  <c r="B1" i="7"/>
  <c r="D1" i="6"/>
  <c r="B1" i="6"/>
  <c r="D1" i="5"/>
  <c r="B1" i="5"/>
  <c r="D1" i="4"/>
  <c r="D1" i="3"/>
  <c r="C15" i="18" l="1"/>
  <c r="C10" i="18"/>
  <c r="D11" i="17"/>
  <c r="C11" i="17"/>
  <c r="B11" i="17"/>
  <c r="H24" i="19"/>
  <c r="H26" i="19" s="1"/>
  <c r="C12" i="16"/>
  <c r="D11" i="15"/>
  <c r="C11" i="15"/>
  <c r="D17" i="16"/>
  <c r="D16" i="16"/>
  <c r="D11" i="16"/>
  <c r="B17" i="15"/>
  <c r="E17" i="15" s="1"/>
  <c r="C17" i="18" s="1"/>
  <c r="B16" i="15"/>
  <c r="B20" i="15"/>
  <c r="B21" i="15"/>
  <c r="E21" i="15" s="1"/>
  <c r="C21" i="18" s="1"/>
  <c r="B11" i="15"/>
  <c r="B11" i="16"/>
  <c r="B17" i="16"/>
  <c r="E17" i="16" s="1"/>
  <c r="D17" i="18" s="1"/>
  <c r="B16" i="16"/>
  <c r="H24" i="4"/>
  <c r="H26" i="4" s="1"/>
  <c r="C20" i="14"/>
  <c r="H24" i="3"/>
  <c r="H26" i="3" s="1"/>
  <c r="G10" i="2"/>
  <c r="B10" i="14" s="1"/>
  <c r="B21" i="16"/>
  <c r="E21" i="16" s="1"/>
  <c r="D21" i="18" s="1"/>
  <c r="C17" i="17"/>
  <c r="C21" i="17"/>
  <c r="D21" i="16"/>
  <c r="E8" i="14"/>
  <c r="B7" i="14"/>
  <c r="E7" i="14" s="1"/>
  <c r="B7" i="18" s="1"/>
  <c r="D21" i="17"/>
  <c r="D17" i="17"/>
  <c r="B17" i="17"/>
  <c r="E17" i="17" s="1"/>
  <c r="E17" i="18" s="1"/>
  <c r="B21" i="17"/>
  <c r="E21" i="17" s="1"/>
  <c r="E21" i="18" s="1"/>
  <c r="D10" i="14"/>
  <c r="B5" i="14"/>
  <c r="E5" i="14" s="1"/>
  <c r="B5" i="18" s="1"/>
  <c r="F5" i="18" s="1"/>
  <c r="G9" i="2"/>
  <c r="B9" i="14" s="1"/>
  <c r="G11" i="2" l="1"/>
  <c r="H24" i="13"/>
  <c r="H26" i="13" s="1"/>
  <c r="D12" i="17"/>
  <c r="H24" i="12"/>
  <c r="H26" i="12" s="1"/>
  <c r="C12" i="17"/>
  <c r="H24" i="11"/>
  <c r="H26" i="11" s="1"/>
  <c r="B12" i="17"/>
  <c r="E12" i="17" s="1"/>
  <c r="E12" i="18" s="1"/>
  <c r="D12" i="16"/>
  <c r="H24" i="10"/>
  <c r="H26" i="10" s="1"/>
  <c r="J26" i="19"/>
  <c r="G27" i="19" s="1"/>
  <c r="J25" i="19"/>
  <c r="J24" i="19"/>
  <c r="B12" i="16"/>
  <c r="E12" i="16" s="1"/>
  <c r="D12" i="18" s="1"/>
  <c r="H24" i="8"/>
  <c r="H26" i="8" s="1"/>
  <c r="J26" i="8" s="1"/>
  <c r="G27" i="8" s="1"/>
  <c r="G29" i="8" s="1"/>
  <c r="H24" i="7"/>
  <c r="H26" i="7" s="1"/>
  <c r="D12" i="15"/>
  <c r="H24" i="6"/>
  <c r="H26" i="6" s="1"/>
  <c r="C12" i="15"/>
  <c r="H24" i="5"/>
  <c r="H26" i="5" s="1"/>
  <c r="J24" i="5" s="1"/>
  <c r="B8" i="18"/>
  <c r="F8" i="18" s="1"/>
  <c r="G8" i="18" s="1"/>
  <c r="F6" i="18" s="1"/>
  <c r="F8" i="14"/>
  <c r="E6" i="14" s="1"/>
  <c r="B12" i="15"/>
  <c r="E12" i="15" s="1"/>
  <c r="C12" i="18" s="1"/>
  <c r="D21" i="14"/>
  <c r="J25" i="4"/>
  <c r="J26" i="4"/>
  <c r="G27" i="4" s="1"/>
  <c r="G29" i="4" s="1"/>
  <c r="J24" i="4"/>
  <c r="C21" i="14"/>
  <c r="E9" i="14"/>
  <c r="B9" i="18" s="1"/>
  <c r="E10" i="14"/>
  <c r="C30" i="8" l="1"/>
  <c r="C29" i="8"/>
  <c r="C30" i="4"/>
  <c r="C29" i="4"/>
  <c r="J25" i="8"/>
  <c r="C30" i="17"/>
  <c r="J24" i="10"/>
  <c r="J25" i="10"/>
  <c r="J26" i="10"/>
  <c r="G27" i="10" s="1"/>
  <c r="E27" i="16" s="1"/>
  <c r="C29" i="16"/>
  <c r="J24" i="8"/>
  <c r="J25" i="7"/>
  <c r="J26" i="7"/>
  <c r="J24" i="7"/>
  <c r="J26" i="6"/>
  <c r="J24" i="6"/>
  <c r="J25" i="6"/>
  <c r="E11" i="14"/>
  <c r="B11" i="18" s="1"/>
  <c r="B10" i="18"/>
  <c r="C29" i="17"/>
  <c r="C30" i="16"/>
  <c r="J26" i="5"/>
  <c r="G27" i="5" s="1"/>
  <c r="G29" i="5" s="1"/>
  <c r="J25" i="3"/>
  <c r="J26" i="3"/>
  <c r="J24" i="3"/>
  <c r="J26" i="13"/>
  <c r="G27" i="13" s="1"/>
  <c r="J25" i="13"/>
  <c r="J24" i="13"/>
  <c r="J24" i="12"/>
  <c r="J26" i="12"/>
  <c r="G27" i="12" s="1"/>
  <c r="J25" i="12"/>
  <c r="J24" i="11"/>
  <c r="J26" i="11"/>
  <c r="G27" i="11" s="1"/>
  <c r="J25" i="11"/>
  <c r="F7" i="18"/>
  <c r="F10" i="18" s="1"/>
  <c r="F11" i="18" s="1"/>
  <c r="B10" i="2"/>
  <c r="B11" i="2" s="1"/>
  <c r="B15" i="2"/>
  <c r="K9" i="2"/>
  <c r="G12" i="2" s="1"/>
  <c r="G27" i="7" l="1"/>
  <c r="G29" i="7" s="1"/>
  <c r="C29" i="7" s="1"/>
  <c r="G27" i="6"/>
  <c r="G29" i="6" s="1"/>
  <c r="C30" i="6" s="1"/>
  <c r="C29" i="5"/>
  <c r="C30" i="5"/>
  <c r="G27" i="3"/>
  <c r="G29" i="3" s="1"/>
  <c r="C30" i="3" s="1"/>
  <c r="E27" i="17"/>
  <c r="B12" i="14"/>
  <c r="E12" i="14" s="1"/>
  <c r="B12" i="18" s="1"/>
  <c r="F12" i="18" s="1"/>
  <c r="J25" i="5"/>
  <c r="F9" i="18"/>
  <c r="G9" i="18" s="1"/>
  <c r="K11" i="2"/>
  <c r="K10" i="2"/>
  <c r="B16" i="2"/>
  <c r="C10" i="2"/>
  <c r="C11" i="2" s="1"/>
  <c r="D10" i="2"/>
  <c r="D11" i="2" s="1"/>
  <c r="E10" i="2"/>
  <c r="E11" i="2" s="1"/>
  <c r="F10" i="2"/>
  <c r="F11" i="2" s="1"/>
  <c r="G25" i="2"/>
  <c r="G18" i="2"/>
  <c r="C26" i="2"/>
  <c r="D26" i="2"/>
  <c r="E26" i="2"/>
  <c r="F26" i="2"/>
  <c r="C19" i="2"/>
  <c r="B19" i="14" s="1"/>
  <c r="D19" i="2"/>
  <c r="D20" i="2" s="1"/>
  <c r="E19" i="2"/>
  <c r="E20" i="2" s="1"/>
  <c r="F19" i="2"/>
  <c r="F20" i="2" s="1"/>
  <c r="C15" i="2"/>
  <c r="C16" i="2" s="1"/>
  <c r="D15" i="2"/>
  <c r="D16" i="2" s="1"/>
  <c r="E15" i="2"/>
  <c r="E16" i="2" s="1"/>
  <c r="F15" i="2"/>
  <c r="F16" i="2" s="1"/>
  <c r="D9" i="2"/>
  <c r="E9" i="2"/>
  <c r="F9" i="2"/>
  <c r="C30" i="7" l="1"/>
  <c r="C30" i="15" s="1"/>
  <c r="E27" i="15"/>
  <c r="C29" i="6"/>
  <c r="C29" i="15" s="1"/>
  <c r="C29" i="3"/>
  <c r="B25" i="14"/>
  <c r="E25" i="14" s="1"/>
  <c r="E26" i="14" s="1"/>
  <c r="B26" i="18" s="1"/>
  <c r="G26" i="2"/>
  <c r="B25" i="18"/>
  <c r="F25" i="18" s="1"/>
  <c r="F26" i="18" s="1"/>
  <c r="C20" i="2"/>
  <c r="G19" i="2"/>
  <c r="G20" i="2" s="1"/>
  <c r="B20" i="14" s="1"/>
  <c r="B18" i="14"/>
  <c r="E18" i="14" s="1"/>
  <c r="B24" i="14"/>
  <c r="E24" i="14" s="1"/>
  <c r="B13" i="14"/>
  <c r="G15" i="2"/>
  <c r="B15" i="14" s="1"/>
  <c r="D39" i="1"/>
  <c r="B24" i="18" l="1"/>
  <c r="F24" i="18" s="1"/>
  <c r="G25" i="18" s="1"/>
  <c r="E19" i="14"/>
  <c r="B19" i="18" s="1"/>
  <c r="B18" i="18"/>
  <c r="F18" i="18" s="1"/>
  <c r="F19" i="18" s="1"/>
  <c r="F20" i="18" s="1"/>
  <c r="E13" i="14"/>
  <c r="H40" i="1"/>
  <c r="H39" i="1"/>
  <c r="F40" i="1"/>
  <c r="F39" i="1"/>
  <c r="E20" i="14" l="1"/>
  <c r="B20" i="18" s="1"/>
  <c r="E15" i="14"/>
  <c r="B15" i="18" s="1"/>
  <c r="B13" i="18"/>
  <c r="F13" i="18" s="1"/>
  <c r="F15" i="18" s="1"/>
  <c r="F16" i="18" s="1"/>
  <c r="E16" i="14"/>
  <c r="B16" i="18" s="1"/>
  <c r="B26" i="2"/>
  <c r="H25" i="2"/>
  <c r="B26" i="14" l="1"/>
  <c r="G16" i="2"/>
  <c r="B16" i="14" s="1"/>
  <c r="H9" i="2" l="1"/>
  <c r="G17" i="2"/>
  <c r="D40" i="1"/>
  <c r="B17" i="14" l="1"/>
  <c r="E17" i="14" s="1"/>
  <c r="B17" i="18" s="1"/>
  <c r="F17" i="18" s="1"/>
  <c r="G21" i="2"/>
  <c r="B21" i="14" s="1"/>
  <c r="E21" i="14" s="1"/>
  <c r="B21" i="18" s="1"/>
  <c r="F21" i="18" s="1"/>
  <c r="B11" i="14"/>
  <c r="G24" i="18" l="1"/>
  <c r="G26" i="18" s="1"/>
  <c r="I26" i="18" s="1"/>
  <c r="H24" i="2"/>
  <c r="H26" i="2" s="1"/>
  <c r="J24" i="2" s="1"/>
  <c r="I25" i="18" l="1"/>
  <c r="I24" i="18"/>
  <c r="J26" i="2"/>
  <c r="J25" i="2"/>
  <c r="G27" i="2" l="1"/>
  <c r="E27" i="14" l="1"/>
  <c r="F27" i="18" s="1"/>
  <c r="G29" i="2"/>
  <c r="C29" i="2" l="1"/>
  <c r="C29" i="14" s="1"/>
  <c r="D29" i="18" s="1"/>
  <c r="C30" i="2"/>
  <c r="C30" i="14" s="1"/>
  <c r="D30" i="18" s="1"/>
</calcChain>
</file>

<file path=xl/sharedStrings.xml><?xml version="1.0" encoding="utf-8"?>
<sst xmlns="http://schemas.openxmlformats.org/spreadsheetml/2006/main" count="720" uniqueCount="120">
  <si>
    <t>Pass</t>
  </si>
  <si>
    <t>Fail</t>
  </si>
  <si>
    <t>A</t>
  </si>
  <si>
    <t>B</t>
  </si>
  <si>
    <t>C</t>
  </si>
  <si>
    <t>F</t>
  </si>
  <si>
    <t xml:space="preserve"> Catering Sales</t>
  </si>
  <si>
    <t>Reinhart Payout</t>
  </si>
  <si>
    <t>Sales for Week</t>
  </si>
  <si>
    <t>Customer Complain</t>
  </si>
  <si>
    <t>Last Year Sales</t>
  </si>
  <si>
    <t>Week 1</t>
  </si>
  <si>
    <t>Week 2</t>
  </si>
  <si>
    <t>Week 3</t>
  </si>
  <si>
    <t>Week 4</t>
  </si>
  <si>
    <t>Total</t>
  </si>
  <si>
    <t>labor %</t>
  </si>
  <si>
    <t>Catering Sales $$</t>
  </si>
  <si>
    <t>Cash Over Short $$</t>
  </si>
  <si>
    <t>Labor $$</t>
  </si>
  <si>
    <t>Food Cost %</t>
  </si>
  <si>
    <t>Sales Up/Down</t>
  </si>
  <si>
    <t>Deduction $$</t>
  </si>
  <si>
    <t>Sales After Catering</t>
  </si>
  <si>
    <t>Pass the FSE and not get out compliance due to an issue that within there control.</t>
  </si>
  <si>
    <t>Any Cash Short for  the Quarter will be deducted from total pay out.</t>
  </si>
  <si>
    <t xml:space="preserve">    Grad</t>
  </si>
  <si>
    <t>3% of Total Catering Sales</t>
  </si>
  <si>
    <t>RM and AM has to be in position for entire quarter.</t>
  </si>
  <si>
    <t>Labor  is  &lt;= 25 %</t>
  </si>
  <si>
    <t>If shop does not have AM in place that portion will not be given out to anyone.</t>
  </si>
  <si>
    <t>FOOD COST</t>
  </si>
  <si>
    <t>LABOR</t>
  </si>
  <si>
    <t>SALES</t>
  </si>
  <si>
    <t>*BONUS PAY OUT IS SUBJECT TO CHANGE ANY TIME.</t>
  </si>
  <si>
    <t xml:space="preserve">          of employment.</t>
  </si>
  <si>
    <t xml:space="preserve">          from total pay out.</t>
  </si>
  <si>
    <t>**Bonus is computed each month the bonus amount for each month is totaled and paid out every quarter.</t>
  </si>
  <si>
    <t>FSE</t>
  </si>
  <si>
    <t xml:space="preserve">              MONTHLY SALES  </t>
  </si>
  <si>
    <t>MONTH</t>
  </si>
  <si>
    <t>MONTHLY PAY OUT DISTRIBUTION</t>
  </si>
  <si>
    <t>MULTIPLIER FOR SHOP PAYOUT</t>
  </si>
  <si>
    <t>PAY OUT CATEGORY</t>
  </si>
  <si>
    <t>DEDUCTIONS</t>
  </si>
  <si>
    <t>MONTHLY QUALIFIERS</t>
  </si>
  <si>
    <t>EXTRA EARNING</t>
  </si>
  <si>
    <t xml:space="preserve">        SALES</t>
  </si>
  <si>
    <t>&lt;= 2%</t>
  </si>
  <si>
    <t>&gt; 2% - &lt;= 7%</t>
  </si>
  <si>
    <t>&gt; 7% - &lt;= 10%</t>
  </si>
  <si>
    <t>&gt; 10%</t>
  </si>
  <si>
    <t xml:space="preserve">           LABOR      </t>
  </si>
  <si>
    <t xml:space="preserve">         FOOD COST</t>
  </si>
  <si>
    <t>&lt;= 27%</t>
  </si>
  <si>
    <t>&gt; 27% - &lt;= 30%</t>
  </si>
  <si>
    <t>&gt; 30% - &lt;=32%</t>
  </si>
  <si>
    <t>&gt;= 32%</t>
  </si>
  <si>
    <t>&lt;= 20%</t>
  </si>
  <si>
    <t>&gt; 25%</t>
  </si>
  <si>
    <t>&gt; 23% - &lt;= 25%</t>
  </si>
  <si>
    <t>&gt; 20% - &lt;= 23%</t>
  </si>
  <si>
    <t>&gt; 90%</t>
  </si>
  <si>
    <t>&gt; 85% - &lt; 90%</t>
  </si>
  <si>
    <t>&gt; 80% - &lt;= 85%</t>
  </si>
  <si>
    <t>&lt; 80%</t>
  </si>
  <si>
    <t>Week 5</t>
  </si>
  <si>
    <t>SHOP #</t>
  </si>
  <si>
    <t>GRAD</t>
  </si>
  <si>
    <t>PAY OUT</t>
  </si>
  <si>
    <t>TOTAL PAY OUT</t>
  </si>
  <si>
    <t>RM PAY OUT FOR MONTH</t>
  </si>
  <si>
    <t>AM PAY OUT FOR MONTH</t>
  </si>
  <si>
    <t>Food cost is &lt;= 32 %</t>
  </si>
  <si>
    <t>&lt;=</t>
  </si>
  <si>
    <t>&gt;</t>
  </si>
  <si>
    <t>1 X</t>
  </si>
  <si>
    <t>1.25 X</t>
  </si>
  <si>
    <t>1.5 X</t>
  </si>
  <si>
    <t>Shop Manger Pay out is 2/3 of total shop pay out for quarter.</t>
  </si>
  <si>
    <t xml:space="preserve">AM  Pay out is 1/3 of total  shop pay out for quarter. </t>
  </si>
  <si>
    <t>PASS</t>
  </si>
  <si>
    <t>FEB</t>
  </si>
  <si>
    <t>JAN</t>
  </si>
  <si>
    <t>MAR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</si>
  <si>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</si>
  <si>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</si>
  <si>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</si>
  <si>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</si>
  <si>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</si>
  <si>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</si>
  <si>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</si>
  <si>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</si>
  <si>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</si>
  <si>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 xml:space="preserve">Any find shop may received from Labor laws, Fire Marshall or Health Department etx will be deducted </t>
  </si>
  <si>
    <t>1ST Q</t>
  </si>
  <si>
    <t>4TH Q</t>
  </si>
  <si>
    <t>3RD Q</t>
  </si>
  <si>
    <t>2ND Q</t>
  </si>
  <si>
    <t>Q1</t>
  </si>
  <si>
    <t>Q2</t>
  </si>
  <si>
    <t>Q3</t>
  </si>
  <si>
    <t>Q4</t>
  </si>
  <si>
    <t>YTD</t>
  </si>
  <si>
    <t xml:space="preserve">$ 10 will be deducted for each new hire for not certified in subway university within first 4 week </t>
  </si>
  <si>
    <t xml:space="preserve">Transfer ( IN / OUT) </t>
  </si>
  <si>
    <t>week Ending Date</t>
  </si>
  <si>
    <t>Net Sales for Week</t>
  </si>
  <si>
    <t>Transfer  IN / OUT</t>
  </si>
  <si>
    <t xml:space="preserve">$ 10 will be deducted for each week if recommendation to friend score of your shop is NOT higher then </t>
  </si>
  <si>
    <t>R / F compny score %</t>
  </si>
  <si>
    <t>R / F Shop Score %</t>
  </si>
  <si>
    <t xml:space="preserve">          Subway company recommendation to friend score.(7/1/2019)</t>
  </si>
  <si>
    <t>BONUS PROGRAM 2020</t>
  </si>
  <si>
    <t>Weekly Gross And Net Sales</t>
  </si>
  <si>
    <t>Date range: 1/8/2019 - 12/31/2019</t>
  </si>
  <si>
    <t>Store</t>
  </si>
  <si>
    <t>Week Ending Date</t>
  </si>
  <si>
    <t>Net Sales</t>
  </si>
  <si>
    <t>First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</si>
</sst>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&quot;$&quot;#,##0.00"/>
    <numFmt numFmtId="165" formatCode="&quot;$&quot;#,##0"/>
    <numFmt numFmtId="166" formatCode="mm/dd/yy;@"/>
    <numFmt numFmtId="167" formatCode="[$-10409]m/d/yyyy"/>
    <numFmt numFmtId="168" formatCode="[$-10409]&quot;$&quot;#,##0.00;\(&quot;$&quot;#,##0.00\)"/>
  </numFmts>
  <fonts count="3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name val="Calibri"/>
      <family val="2"/>
      <scheme val="minor"/>
    </font>
    <font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</font>
    <font>
      <b/>
      <sz val="14"/>
      <color rgb="FF4682B4"/>
      <name val="Tahoma"/>
    </font>
    <font>
      <sz val="10"/>
      <color rgb="FF000000"/>
      <name val="Tahoma"/>
    </font>
    <font>
      <b/>
      <sz val="8"/>
      <color rgb="FFFFFFFF"/>
      <name val="Tahoma"/>
    </font>
    <font>
      <sz val="8"/>
      <color rgb="FF000000"/>
      <name val="Tahoma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4" fillId="0" borderId="6" xfId="0" applyFont="1" applyBorder="1"/>
    <xf numFmtId="0" fontId="4" fillId="0" borderId="0" xfId="0" applyFont="1" applyBorder="1"/>
    <xf numFmtId="0" fontId="4" fillId="0" borderId="14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5" xfId="0" applyFont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2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2" fillId="2" borderId="0" xfId="0" applyFont="1" applyFill="1" applyBorder="1"/>
    <xf numFmtId="0" fontId="2" fillId="2" borderId="6" xfId="0" applyFont="1" applyFill="1" applyBorder="1"/>
    <xf numFmtId="0" fontId="6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7" xfId="0" applyFont="1" applyBorder="1"/>
    <xf numFmtId="0" fontId="4" fillId="0" borderId="16" xfId="0" applyFont="1" applyBorder="1"/>
    <xf numFmtId="0" fontId="0" fillId="0" borderId="4" xfId="0" applyBorder="1"/>
    <xf numFmtId="0" fontId="10" fillId="0" borderId="0" xfId="0" applyFont="1"/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Border="1" applyAlignment="1" applyProtection="1">
      <alignment horizontal="center"/>
      <protection locked="0"/>
    </xf>
    <xf numFmtId="0" fontId="0" fillId="0" borderId="3" xfId="0" applyBorder="1"/>
    <xf numFmtId="0" fontId="12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4" fillId="0" borderId="17" xfId="0" applyFont="1" applyBorder="1"/>
    <xf numFmtId="0" fontId="6" fillId="0" borderId="9" xfId="0" applyFont="1" applyBorder="1"/>
    <xf numFmtId="0" fontId="6" fillId="0" borderId="7" xfId="0" applyFont="1" applyBorder="1"/>
    <xf numFmtId="0" fontId="3" fillId="0" borderId="2" xfId="0" applyFont="1" applyBorder="1"/>
    <xf numFmtId="0" fontId="4" fillId="0" borderId="5" xfId="0" applyFont="1" applyFill="1" applyBorder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4" xfId="0" applyFont="1" applyFill="1" applyBorder="1"/>
    <xf numFmtId="0" fontId="4" fillId="0" borderId="0" xfId="0" applyFont="1" applyFill="1" applyBorder="1"/>
    <xf numFmtId="6" fontId="8" fillId="0" borderId="9" xfId="0" applyNumberFormat="1" applyFont="1" applyBorder="1" applyAlignment="1">
      <alignment horizontal="center"/>
    </xf>
    <xf numFmtId="0" fontId="6" fillId="0" borderId="11" xfId="0" applyFont="1" applyBorder="1"/>
    <xf numFmtId="0" fontId="4" fillId="0" borderId="10" xfId="0" applyFont="1" applyBorder="1"/>
    <xf numFmtId="0" fontId="13" fillId="2" borderId="6" xfId="0" applyFont="1" applyFill="1" applyBorder="1"/>
    <xf numFmtId="2" fontId="14" fillId="2" borderId="3" xfId="0" applyNumberFormat="1" applyFont="1" applyFill="1" applyBorder="1"/>
    <xf numFmtId="6" fontId="11" fillId="3" borderId="4" xfId="0" applyNumberFormat="1" applyFont="1" applyFill="1" applyBorder="1" applyAlignment="1" applyProtection="1">
      <alignment horizontal="center"/>
      <protection locked="0"/>
    </xf>
    <xf numFmtId="6" fontId="8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6" fontId="13" fillId="3" borderId="5" xfId="0" applyNumberFormat="1" applyFont="1" applyFill="1" applyBorder="1"/>
    <xf numFmtId="0" fontId="14" fillId="3" borderId="0" xfId="0" applyFont="1" applyFill="1" applyBorder="1"/>
    <xf numFmtId="2" fontId="14" fillId="3" borderId="0" xfId="0" applyNumberFormat="1" applyFont="1" applyFill="1" applyBorder="1"/>
    <xf numFmtId="0" fontId="14" fillId="3" borderId="0" xfId="0" applyFont="1" applyFill="1" applyBorder="1" applyAlignment="1">
      <alignment horizontal="center"/>
    </xf>
    <xf numFmtId="0" fontId="14" fillId="3" borderId="6" xfId="0" applyFont="1" applyFill="1" applyBorder="1"/>
    <xf numFmtId="0" fontId="14" fillId="3" borderId="9" xfId="0" applyFont="1" applyFill="1" applyBorder="1"/>
    <xf numFmtId="6" fontId="13" fillId="2" borderId="2" xfId="0" applyNumberFormat="1" applyFont="1" applyFill="1" applyBorder="1"/>
    <xf numFmtId="0" fontId="14" fillId="2" borderId="3" xfId="0" applyFont="1" applyFill="1" applyBorder="1"/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/>
    <xf numFmtId="0" fontId="4" fillId="3" borderId="0" xfId="0" applyFont="1" applyFill="1"/>
    <xf numFmtId="2" fontId="6" fillId="3" borderId="9" xfId="0" applyNumberFormat="1" applyFont="1" applyFill="1" applyBorder="1" applyAlignment="1">
      <alignment horizontal="center"/>
    </xf>
    <xf numFmtId="2" fontId="6" fillId="3" borderId="11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6" fontId="8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5" fontId="8" fillId="4" borderId="4" xfId="0" applyNumberFormat="1" applyFont="1" applyFill="1" applyBorder="1" applyAlignment="1" applyProtection="1">
      <alignment horizontal="center"/>
      <protection locked="0"/>
    </xf>
    <xf numFmtId="165" fontId="11" fillId="3" borderId="10" xfId="0" applyNumberFormat="1" applyFont="1" applyFill="1" applyBorder="1" applyAlignment="1" applyProtection="1">
      <alignment horizontal="center"/>
      <protection locked="0"/>
    </xf>
    <xf numFmtId="165" fontId="4" fillId="0" borderId="10" xfId="0" applyNumberFormat="1" applyFont="1" applyBorder="1" applyAlignment="1">
      <alignment horizontal="center"/>
    </xf>
    <xf numFmtId="0" fontId="12" fillId="0" borderId="0" xfId="0" applyFont="1" applyBorder="1"/>
    <xf numFmtId="164" fontId="4" fillId="0" borderId="6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0" fontId="0" fillId="0" borderId="12" xfId="0" applyBorder="1"/>
    <xf numFmtId="2" fontId="4" fillId="0" borderId="7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" fontId="4" fillId="0" borderId="6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10" fillId="3" borderId="7" xfId="0" applyFont="1" applyFill="1" applyBorder="1" applyAlignment="1">
      <alignment horizontal="right"/>
    </xf>
    <xf numFmtId="14" fontId="5" fillId="3" borderId="12" xfId="0" applyNumberFormat="1" applyFont="1" applyFill="1" applyBorder="1" applyAlignment="1" applyProtection="1">
      <alignment horizontal="center"/>
      <protection locked="0"/>
    </xf>
    <xf numFmtId="14" fontId="13" fillId="3" borderId="8" xfId="0" applyNumberFormat="1" applyFont="1" applyFill="1" applyBorder="1" applyAlignment="1" applyProtection="1">
      <alignment horizontal="center"/>
      <protection locked="0"/>
    </xf>
    <xf numFmtId="0" fontId="10" fillId="3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0" fillId="3" borderId="8" xfId="0" applyNumberFormat="1" applyFont="1" applyFill="1" applyBorder="1" applyAlignment="1" applyProtection="1">
      <alignment horizontal="center"/>
      <protection locked="0"/>
    </xf>
    <xf numFmtId="164" fontId="19" fillId="4" borderId="4" xfId="0" applyNumberFormat="1" applyFont="1" applyFill="1" applyBorder="1" applyAlignment="1" applyProtection="1">
      <alignment horizontal="center" vertical="center"/>
      <protection locked="0"/>
    </xf>
    <xf numFmtId="164" fontId="19" fillId="4" borderId="1" xfId="0" applyNumberFormat="1" applyFont="1" applyFill="1" applyBorder="1" applyAlignment="1" applyProtection="1">
      <alignment horizontal="center" vertical="center"/>
      <protection locked="0"/>
    </xf>
    <xf numFmtId="164" fontId="10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9" fillId="4" borderId="3" xfId="0" applyNumberFormat="1" applyFont="1" applyFill="1" applyBorder="1" applyAlignment="1" applyProtection="1">
      <alignment horizontal="center" vertical="center"/>
      <protection locked="0"/>
    </xf>
    <xf numFmtId="164" fontId="19" fillId="4" borderId="2" xfId="0" applyNumberFormat="1" applyFont="1" applyFill="1" applyBorder="1" applyAlignment="1" applyProtection="1">
      <alignment horizontal="center" vertical="center"/>
      <protection locked="0"/>
    </xf>
    <xf numFmtId="164" fontId="1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9" fillId="0" borderId="2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6" fontId="13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" fontId="19" fillId="0" borderId="5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9" fontId="20" fillId="0" borderId="0" xfId="0" applyNumberFormat="1" applyFont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164" fontId="19" fillId="3" borderId="0" xfId="0" applyNumberFormat="1" applyFont="1" applyFill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6" fontId="16" fillId="0" borderId="0" xfId="0" applyNumberFormat="1" applyFont="1" applyAlignment="1">
      <alignment horizontal="center" vertical="center"/>
    </xf>
    <xf numFmtId="164" fontId="21" fillId="3" borderId="5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0" fontId="9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10" fillId="3" borderId="9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2" xfId="0" applyFont="1" applyBorder="1" applyAlignment="1">
      <alignment horizontal="left" vertical="center"/>
    </xf>
    <xf numFmtId="0" fontId="9" fillId="0" borderId="12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0" xfId="0" applyAlignment="1">
      <alignment horizontal="right"/>
    </xf>
    <xf numFmtId="14" fontId="5" fillId="3" borderId="0" xfId="0" applyNumberFormat="1" applyFont="1" applyFill="1" applyBorder="1" applyAlignment="1" applyProtection="1">
      <alignment horizontal="center"/>
      <protection locked="0"/>
    </xf>
    <xf numFmtId="164" fontId="10" fillId="3" borderId="4" xfId="0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 vertical="center"/>
    </xf>
    <xf numFmtId="164" fontId="10" fillId="0" borderId="1" xfId="0" applyNumberFormat="1" applyFont="1" applyBorder="1" applyAlignment="1" applyProtection="1">
      <alignment horizontal="center" vertical="center"/>
    </xf>
    <xf numFmtId="164" fontId="10" fillId="3" borderId="3" xfId="0" applyNumberFormat="1" applyFont="1" applyFill="1" applyBorder="1" applyAlignment="1" applyProtection="1">
      <alignment horizontal="center" vertical="center"/>
    </xf>
    <xf numFmtId="164" fontId="23" fillId="3" borderId="4" xfId="0" applyNumberFormat="1" applyFont="1" applyFill="1" applyBorder="1" applyAlignment="1" applyProtection="1">
      <alignment horizontal="center" vertical="center"/>
    </xf>
    <xf numFmtId="164" fontId="23" fillId="3" borderId="1" xfId="0" applyNumberFormat="1" applyFont="1" applyFill="1" applyBorder="1" applyAlignment="1" applyProtection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</xf>
    <xf numFmtId="10" fontId="9" fillId="0" borderId="1" xfId="0" applyNumberFormat="1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center" vertical="center"/>
    </xf>
    <xf numFmtId="164" fontId="6" fillId="0" borderId="0" xfId="0" applyNumberFormat="1" applyFont="1" applyBorder="1" applyAlignment="1" applyProtection="1">
      <alignment horizontal="center" vertical="center"/>
    </xf>
    <xf numFmtId="164" fontId="6" fillId="0" borderId="12" xfId="0" applyNumberFormat="1" applyFont="1" applyBorder="1" applyAlignment="1" applyProtection="1">
      <alignment horizontal="center" vertical="center"/>
    </xf>
    <xf numFmtId="10" fontId="9" fillId="0" borderId="0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10" fillId="3" borderId="9" xfId="0" applyNumberFormat="1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3" borderId="8" xfId="0" applyFont="1" applyFill="1" applyBorder="1" applyAlignment="1" applyProtection="1">
      <alignment horizontal="center"/>
    </xf>
    <xf numFmtId="0" fontId="5" fillId="0" borderId="0" xfId="0" applyFont="1" applyProtection="1"/>
    <xf numFmtId="0" fontId="18" fillId="0" borderId="8" xfId="0" applyFont="1" applyBorder="1" applyAlignment="1" applyProtection="1">
      <alignment horizontal="center"/>
    </xf>
    <xf numFmtId="14" fontId="10" fillId="3" borderId="8" xfId="0" applyNumberFormat="1" applyFont="1" applyFill="1" applyBorder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0" fillId="0" borderId="0" xfId="0" applyProtection="1"/>
    <xf numFmtId="0" fontId="10" fillId="3" borderId="0" xfId="0" applyFont="1" applyFill="1" applyBorder="1" applyAlignment="1" applyProtection="1">
      <alignment horizontal="center"/>
    </xf>
    <xf numFmtId="14" fontId="5" fillId="3" borderId="12" xfId="0" applyNumberFormat="1" applyFont="1" applyFill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</xf>
    <xf numFmtId="14" fontId="5" fillId="3" borderId="0" xfId="0" applyNumberFormat="1" applyFont="1" applyFill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0" fontId="10" fillId="0" borderId="0" xfId="0" applyFont="1" applyProtection="1"/>
    <xf numFmtId="0" fontId="19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164" fontId="1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6" fontId="13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9" fillId="0" borderId="1" xfId="0" applyFont="1" applyBorder="1" applyAlignment="1" applyProtection="1">
      <alignment horizontal="right" vertical="center"/>
    </xf>
    <xf numFmtId="0" fontId="20" fillId="0" borderId="0" xfId="0" applyFont="1" applyBorder="1" applyAlignment="1" applyProtection="1">
      <alignment horizontal="center" vertical="center"/>
    </xf>
    <xf numFmtId="6" fontId="13" fillId="0" borderId="0" xfId="0" applyNumberFormat="1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1" fontId="19" fillId="0" borderId="0" xfId="0" applyNumberFormat="1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164" fontId="19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2" fontId="20" fillId="0" borderId="0" xfId="0" applyNumberFormat="1" applyFont="1" applyBorder="1" applyAlignment="1" applyProtection="1">
      <alignment horizontal="center" vertical="center"/>
    </xf>
    <xf numFmtId="164" fontId="20" fillId="0" borderId="0" xfId="0" applyNumberFormat="1" applyFont="1" applyBorder="1" applyAlignment="1" applyProtection="1">
      <alignment horizontal="center" vertical="center"/>
    </xf>
    <xf numFmtId="164" fontId="22" fillId="0" borderId="0" xfId="0" applyNumberFormat="1" applyFont="1" applyBorder="1" applyAlignment="1" applyProtection="1">
      <alignment horizontal="center" vertical="center"/>
    </xf>
    <xf numFmtId="0" fontId="20" fillId="0" borderId="0" xfId="0" applyNumberFormat="1" applyFont="1" applyAlignment="1" applyProtection="1">
      <alignment horizontal="center" vertical="center"/>
    </xf>
    <xf numFmtId="9" fontId="20" fillId="0" borderId="0" xfId="0" applyNumberFormat="1" applyFont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9" fontId="19" fillId="0" borderId="0" xfId="0" applyNumberFormat="1" applyFont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4" fontId="21" fillId="0" borderId="0" xfId="0" applyNumberFormat="1" applyFont="1" applyBorder="1" applyAlignment="1" applyProtection="1">
      <alignment horizontal="center" vertical="center"/>
    </xf>
    <xf numFmtId="164" fontId="13" fillId="3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Border="1" applyAlignment="1" applyProtection="1">
      <alignment horizontal="center" vertical="center"/>
    </xf>
    <xf numFmtId="164" fontId="19" fillId="3" borderId="0" xfId="0" applyNumberFormat="1" applyFont="1" applyFill="1" applyBorder="1" applyAlignment="1" applyProtection="1">
      <alignment horizontal="center" vertical="center"/>
    </xf>
    <xf numFmtId="6" fontId="16" fillId="0" borderId="0" xfId="0" applyNumberFormat="1" applyFont="1" applyAlignment="1" applyProtection="1">
      <alignment horizontal="center" vertical="center"/>
    </xf>
    <xf numFmtId="164" fontId="21" fillId="3" borderId="0" xfId="0" applyNumberFormat="1" applyFont="1" applyFill="1" applyBorder="1" applyAlignment="1" applyProtection="1">
      <alignment horizontal="center" vertical="center"/>
    </xf>
    <xf numFmtId="164" fontId="21" fillId="0" borderId="0" xfId="0" applyNumberFormat="1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9" fillId="0" borderId="12" xfId="0" applyFont="1" applyBorder="1" applyAlignment="1" applyProtection="1">
      <alignment horizontal="right" vertical="center"/>
    </xf>
    <xf numFmtId="164" fontId="20" fillId="0" borderId="0" xfId="0" applyNumberFormat="1" applyFont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6" fillId="0" borderId="8" xfId="0" applyFont="1" applyBorder="1" applyAlignment="1" applyProtection="1">
      <alignment horizontal="right" vertical="center"/>
    </xf>
    <xf numFmtId="0" fontId="12" fillId="0" borderId="0" xfId="0" applyFont="1" applyProtection="1"/>
    <xf numFmtId="0" fontId="12" fillId="0" borderId="0" xfId="0" applyFont="1" applyBorder="1" applyProtection="1"/>
    <xf numFmtId="164" fontId="9" fillId="0" borderId="0" xfId="0" applyNumberFormat="1" applyFont="1" applyBorder="1" applyAlignment="1">
      <alignment horizontal="left" vertical="center"/>
    </xf>
    <xf numFmtId="164" fontId="9" fillId="0" borderId="0" xfId="0" applyNumberFormat="1" applyFont="1" applyBorder="1" applyAlignment="1">
      <alignment horizontal="right" vertical="center"/>
    </xf>
    <xf numFmtId="0" fontId="21" fillId="0" borderId="0" xfId="0" applyNumberFormat="1" applyFont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49" fontId="24" fillId="4" borderId="4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Border="1"/>
    <xf numFmtId="0" fontId="18" fillId="5" borderId="8" xfId="0" applyFont="1" applyFill="1" applyBorder="1" applyAlignment="1" applyProtection="1">
      <alignment horizontal="center"/>
      <protection locked="0"/>
    </xf>
    <xf numFmtId="164" fontId="9" fillId="0" borderId="2" xfId="0" applyNumberFormat="1" applyFont="1" applyBorder="1" applyAlignment="1">
      <alignment horizontal="left" vertical="center"/>
    </xf>
    <xf numFmtId="164" fontId="23" fillId="0" borderId="0" xfId="0" applyNumberFormat="1" applyFont="1" applyAlignment="1">
      <alignment horizontal="center" vertical="center"/>
    </xf>
    <xf numFmtId="164" fontId="23" fillId="3" borderId="4" xfId="1" applyNumberFormat="1" applyFont="1" applyFill="1" applyBorder="1" applyAlignment="1" applyProtection="1">
      <alignment horizontal="center" vertical="center"/>
    </xf>
    <xf numFmtId="164" fontId="9" fillId="0" borderId="1" xfId="0" applyNumberFormat="1" applyFont="1" applyBorder="1" applyAlignment="1" applyProtection="1">
      <alignment horizontal="center" vertical="center"/>
    </xf>
    <xf numFmtId="6" fontId="9" fillId="0" borderId="1" xfId="0" applyNumberFormat="1" applyFont="1" applyBorder="1" applyAlignment="1" applyProtection="1">
      <alignment horizontal="center" vertical="center"/>
    </xf>
    <xf numFmtId="10" fontId="23" fillId="3" borderId="4" xfId="0" applyNumberFormat="1" applyFont="1" applyFill="1" applyBorder="1" applyAlignment="1" applyProtection="1">
      <alignment horizontal="center" vertical="center"/>
    </xf>
    <xf numFmtId="10" fontId="23" fillId="3" borderId="1" xfId="0" applyNumberFormat="1" applyFont="1" applyFill="1" applyBorder="1" applyAlignment="1" applyProtection="1">
      <alignment horizontal="center" vertical="center"/>
    </xf>
    <xf numFmtId="10" fontId="10" fillId="3" borderId="4" xfId="0" applyNumberFormat="1" applyFont="1" applyFill="1" applyBorder="1" applyAlignment="1" applyProtection="1">
      <alignment horizontal="center" vertical="center"/>
    </xf>
    <xf numFmtId="10" fontId="10" fillId="3" borderId="1" xfId="0" applyNumberFormat="1" applyFont="1" applyFill="1" applyBorder="1" applyAlignment="1" applyProtection="1">
      <alignment horizontal="center" vertical="center"/>
    </xf>
    <xf numFmtId="164" fontId="15" fillId="3" borderId="0" xfId="0" applyNumberFormat="1" applyFont="1" applyFill="1" applyBorder="1" applyAlignment="1">
      <alignment horizontal="center" vertical="center"/>
    </xf>
    <xf numFmtId="164" fontId="16" fillId="3" borderId="0" xfId="0" applyNumberFormat="1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22" fillId="3" borderId="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6" fontId="15" fillId="0" borderId="0" xfId="0" applyNumberFormat="1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6" fontId="15" fillId="0" borderId="0" xfId="0" applyNumberFormat="1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0" fillId="0" borderId="0" xfId="0" applyFont="1" applyAlignment="1" applyProtection="1"/>
    <xf numFmtId="164" fontId="9" fillId="0" borderId="11" xfId="0" applyNumberFormat="1" applyFont="1" applyBorder="1" applyAlignment="1" applyProtection="1">
      <alignment horizontal="center" vertical="center"/>
    </xf>
    <xf numFmtId="164" fontId="17" fillId="5" borderId="1" xfId="0" applyNumberFormat="1" applyFont="1" applyFill="1" applyBorder="1" applyAlignment="1" applyProtection="1">
      <alignment horizontal="center" vertical="center"/>
    </xf>
    <xf numFmtId="164" fontId="9" fillId="5" borderId="4" xfId="0" applyNumberFormat="1" applyFont="1" applyFill="1" applyBorder="1" applyAlignment="1" applyProtection="1">
      <alignment horizontal="center" vertical="center"/>
    </xf>
    <xf numFmtId="1" fontId="19" fillId="0" borderId="5" xfId="0" applyNumberFormat="1" applyFont="1" applyBorder="1" applyAlignment="1" applyProtection="1">
      <alignment horizontal="center" vertical="center"/>
    </xf>
    <xf numFmtId="2" fontId="20" fillId="0" borderId="5" xfId="0" applyNumberFormat="1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164" fontId="21" fillId="3" borderId="5" xfId="0" applyNumberFormat="1" applyFont="1" applyFill="1" applyBorder="1" applyAlignment="1" applyProtection="1">
      <alignment horizontal="center" vertical="center"/>
    </xf>
    <xf numFmtId="164" fontId="18" fillId="0" borderId="4" xfId="0" applyNumberFormat="1" applyFont="1" applyBorder="1" applyAlignment="1" applyProtection="1">
      <alignment horizontal="center"/>
    </xf>
    <xf numFmtId="164" fontId="27" fillId="0" borderId="4" xfId="0" applyNumberFormat="1" applyFont="1" applyBorder="1" applyAlignment="1" applyProtection="1">
      <alignment horizontal="center"/>
    </xf>
    <xf numFmtId="166" fontId="10" fillId="5" borderId="1" xfId="0" applyNumberFormat="1" applyFont="1" applyFill="1" applyBorder="1" applyAlignment="1" applyProtection="1">
      <alignment horizontal="center"/>
      <protection locked="0"/>
    </xf>
    <xf numFmtId="9" fontId="19" fillId="4" borderId="1" xfId="0" applyNumberFormat="1" applyFont="1" applyFill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0" fontId="9" fillId="0" borderId="11" xfId="0" applyNumberFormat="1" applyFont="1" applyBorder="1" applyAlignment="1">
      <alignment horizontal="center" vertical="center"/>
    </xf>
    <xf numFmtId="38" fontId="7" fillId="2" borderId="4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29" fillId="0" borderId="0" xfId="0" applyFont="1" applyAlignment="1" applyProtection="1">
      <alignment horizontal="center" vertical="center"/>
    </xf>
    <xf numFmtId="6" fontId="23" fillId="0" borderId="0" xfId="0" applyNumberFormat="1" applyFont="1" applyAlignment="1" applyProtection="1">
      <alignment horizontal="center" vertical="center"/>
    </xf>
    <xf numFmtId="164" fontId="30" fillId="0" borderId="0" xfId="0" applyNumberFormat="1" applyFont="1" applyBorder="1" applyAlignment="1" applyProtection="1">
      <alignment horizontal="center" vertical="center"/>
    </xf>
    <xf numFmtId="164" fontId="29" fillId="0" borderId="0" xfId="0" applyNumberFormat="1" applyFont="1" applyAlignment="1" applyProtection="1">
      <alignment horizontal="center" vertical="center"/>
    </xf>
    <xf numFmtId="164" fontId="23" fillId="0" borderId="0" xfId="0" applyNumberFormat="1" applyFont="1" applyBorder="1" applyAlignment="1" applyProtection="1">
      <alignment horizontal="center" vertical="center"/>
    </xf>
    <xf numFmtId="164" fontId="30" fillId="0" borderId="0" xfId="0" applyNumberFormat="1" applyFont="1" applyAlignment="1" applyProtection="1">
      <alignment horizontal="center" vertical="center"/>
    </xf>
    <xf numFmtId="164" fontId="23" fillId="0" borderId="0" xfId="0" applyNumberFormat="1" applyFont="1" applyAlignment="1" applyProtection="1">
      <alignment horizontal="center" vertical="center"/>
    </xf>
    <xf numFmtId="9" fontId="19" fillId="4" borderId="8" xfId="0" applyNumberFormat="1" applyFont="1" applyFill="1" applyBorder="1" applyAlignment="1" applyProtection="1">
      <alignment horizontal="center" vertical="center"/>
      <protection locked="0"/>
    </xf>
    <xf numFmtId="0" fontId="21" fillId="3" borderId="0" xfId="0" applyNumberFormat="1" applyFont="1" applyFill="1" applyBorder="1" applyAlignment="1" applyProtection="1">
      <alignment horizontal="center" vertical="center"/>
    </xf>
    <xf numFmtId="164" fontId="21" fillId="3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right"/>
    </xf>
    <xf numFmtId="0" fontId="9" fillId="0" borderId="11" xfId="0" applyFont="1" applyBorder="1" applyAlignment="1" applyProtection="1">
      <alignment horizontal="right" vertical="center"/>
    </xf>
    <xf numFmtId="0" fontId="9" fillId="0" borderId="2" xfId="0" applyFont="1" applyBorder="1" applyAlignment="1" applyProtection="1">
      <alignment horizontal="right" vertical="center"/>
    </xf>
    <xf numFmtId="0" fontId="31" fillId="0" borderId="0" xfId="0" applyFont="1" applyAlignment="1" applyProtection="1">
      <alignment horizontal="right"/>
    </xf>
    <xf numFmtId="0" fontId="9" fillId="0" borderId="5" xfId="0" applyFont="1" applyBorder="1" applyAlignment="1" applyProtection="1">
      <alignment horizontal="right"/>
    </xf>
    <xf numFmtId="0" fontId="9" fillId="0" borderId="8" xfId="0" applyFont="1" applyBorder="1" applyAlignment="1" applyProtection="1">
      <alignment horizontal="right" vertical="center"/>
    </xf>
    <xf numFmtId="0" fontId="9" fillId="0" borderId="0" xfId="0" applyFont="1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31" fillId="0" borderId="0" xfId="0" applyFont="1" applyAlignment="1">
      <alignment horizontal="right"/>
    </xf>
    <xf numFmtId="9" fontId="23" fillId="3" borderId="1" xfId="0" applyNumberFormat="1" applyFont="1" applyFill="1" applyBorder="1" applyAlignment="1" applyProtection="1">
      <alignment horizontal="center" vertical="center"/>
    </xf>
    <xf numFmtId="9" fontId="23" fillId="3" borderId="4" xfId="0" applyNumberFormat="1" applyFont="1" applyFill="1" applyBorder="1" applyAlignment="1" applyProtection="1">
      <alignment horizontal="center" vertical="center"/>
    </xf>
    <xf numFmtId="9" fontId="10" fillId="0" borderId="1" xfId="0" applyNumberFormat="1" applyFont="1" applyBorder="1" applyAlignment="1" applyProtection="1">
      <alignment horizontal="center" vertical="center"/>
    </xf>
    <xf numFmtId="10" fontId="10" fillId="0" borderId="1" xfId="0" applyNumberFormat="1" applyFont="1" applyBorder="1" applyAlignment="1" applyProtection="1">
      <alignment horizontal="center" vertical="center"/>
    </xf>
    <xf numFmtId="0" fontId="32" fillId="0" borderId="5" xfId="0" applyFont="1" applyBorder="1"/>
    <xf numFmtId="0" fontId="32" fillId="0" borderId="0" xfId="0" applyFont="1" applyBorder="1"/>
    <xf numFmtId="0" fontId="32" fillId="0" borderId="0" xfId="0" applyFont="1" applyBorder="1" applyAlignment="1">
      <alignment horizontal="center"/>
    </xf>
    <xf numFmtId="0" fontId="32" fillId="0" borderId="6" xfId="0" applyFont="1" applyBorder="1"/>
    <xf numFmtId="166" fontId="10" fillId="0" borderId="1" xfId="0" applyNumberFormat="1" applyFont="1" applyBorder="1" applyAlignment="1" applyProtection="1">
      <alignment horizontal="center"/>
    </xf>
    <xf numFmtId="9" fontId="9" fillId="0" borderId="11" xfId="0" applyNumberFormat="1" applyFont="1" applyBorder="1" applyAlignment="1" applyProtection="1">
      <alignment horizontal="center" vertical="center"/>
    </xf>
    <xf numFmtId="9" fontId="10" fillId="3" borderId="4" xfId="0" applyNumberFormat="1" applyFont="1" applyFill="1" applyBorder="1" applyAlignment="1" applyProtection="1">
      <alignment horizontal="center" vertical="center"/>
    </xf>
    <xf numFmtId="9" fontId="10" fillId="3" borderId="1" xfId="0" applyNumberFormat="1" applyFont="1" applyFill="1" applyBorder="1" applyAlignment="1" applyProtection="1">
      <alignment horizontal="center" vertical="center"/>
    </xf>
    <xf numFmtId="0" fontId="10" fillId="5" borderId="8" xfId="0" applyFont="1" applyFill="1" applyBorder="1" applyAlignment="1" applyProtection="1">
      <alignment horizontal="center"/>
      <protection locked="0"/>
    </xf>
    <xf numFmtId="10" fontId="19" fillId="6" borderId="3" xfId="0" applyNumberFormat="1" applyFont="1" applyFill="1" applyBorder="1" applyAlignment="1" applyProtection="1">
      <alignment horizontal="center" vertical="center"/>
    </xf>
    <xf numFmtId="0" fontId="33" fillId="7" borderId="0" xfId="0" applyNumberFormat="1" applyFont="1" applyFill="1" applyBorder="1" applyAlignment="1">
      <alignment vertical="top" wrapText="1"/>
    </xf>
    <xf numFmtId="0" fontId="33" fillId="0" borderId="0" xfId="0" applyFont="1" applyFill="1" applyBorder="1"/>
    <xf numFmtId="0" fontId="36" fillId="8" borderId="18" xfId="0" applyNumberFormat="1" applyFont="1" applyFill="1" applyBorder="1" applyAlignment="1">
      <alignment horizontal="center" vertical="top" wrapText="1" readingOrder="1"/>
    </xf>
    <xf numFmtId="0" fontId="37" fillId="9" borderId="18" xfId="0" applyNumberFormat="1" applyFont="1" applyFill="1" applyBorder="1" applyAlignment="1">
      <alignment vertical="top" wrapText="1" readingOrder="1"/>
    </xf>
    <xf numFmtId="167" fontId="37" fillId="9" borderId="18" xfId="0" applyNumberFormat="1" applyFont="1" applyFill="1" applyBorder="1" applyAlignment="1">
      <alignment vertical="top" wrapText="1" readingOrder="1"/>
    </xf>
    <xf numFmtId="168" fontId="37" fillId="9" borderId="18" xfId="0" applyNumberFormat="1" applyFont="1" applyFill="1" applyBorder="1" applyAlignment="1">
      <alignment horizontal="right" vertical="top" wrapText="1" readingOrder="1"/>
    </xf>
    <xf numFmtId="0" fontId="37" fillId="7" borderId="18" xfId="0" applyNumberFormat="1" applyFont="1" applyFill="1" applyBorder="1" applyAlignment="1">
      <alignment vertical="top" wrapText="1" readingOrder="1"/>
    </xf>
    <xf numFmtId="167" fontId="37" fillId="7" borderId="18" xfId="0" applyNumberFormat="1" applyFont="1" applyFill="1" applyBorder="1" applyAlignment="1">
      <alignment vertical="top" wrapText="1" readingOrder="1"/>
    </xf>
    <xf numFmtId="168" fontId="37" fillId="7" borderId="18" xfId="0" applyNumberFormat="1" applyFont="1" applyFill="1" applyBorder="1" applyAlignment="1">
      <alignment horizontal="right" vertical="top" wrapText="1" readingOrder="1"/>
    </xf>
    <xf numFmtId="0" fontId="37" fillId="10" borderId="18" xfId="0" applyNumberFormat="1" applyFont="1" applyFill="1" applyBorder="1" applyAlignment="1">
      <alignment vertical="top" wrapText="1" readingOrder="1"/>
    </xf>
    <xf numFmtId="167" fontId="37" fillId="10" borderId="18" xfId="0" applyNumberFormat="1" applyFont="1" applyFill="1" applyBorder="1" applyAlignment="1">
      <alignment vertical="top" wrapText="1" readingOrder="1"/>
    </xf>
    <xf numFmtId="168" fontId="37" fillId="10" borderId="18" xfId="0" applyNumberFormat="1" applyFont="1" applyFill="1" applyBorder="1" applyAlignment="1">
      <alignment horizontal="right" vertical="top" wrapText="1" readingOrder="1"/>
    </xf>
    <xf numFmtId="0" fontId="7" fillId="2" borderId="3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34" fillId="7" borderId="0" xfId="0" applyNumberFormat="1" applyFont="1" applyFill="1" applyBorder="1" applyAlignment="1">
      <alignment vertical="top" wrapText="1" readingOrder="1"/>
    </xf>
    <xf numFmtId="0" fontId="33" fillId="7" borderId="0" xfId="0" applyNumberFormat="1" applyFont="1" applyFill="1" applyBorder="1" applyAlignment="1">
      <alignment vertical="top" wrapText="1"/>
    </xf>
    <xf numFmtId="0" fontId="35" fillId="7" borderId="0" xfId="0" applyNumberFormat="1" applyFont="1" applyFill="1" applyBorder="1" applyAlignment="1">
      <alignment vertical="top" wrapText="1" readingOrder="1"/>
    </xf>
  </cellXfs>
  <cellStyles count="2">
    <cellStyle name="Hyperlink" xfId="1" builtinId="8"/>
    <cellStyle name="Normal" xfId="0" builtinId="0"/>
  </cellStyles>
  <dxfs count="735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10A82D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color theme="1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E39"/>
      <color rgb="FF00823B"/>
      <color rgb="FF008E40"/>
      <color rgb="FF10A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activeCell="N7" sqref="N7"/>
    </sheetView>
  </sheetViews>
  <sheetFormatPr defaultRowHeight="15"/>
  <cols>
    <col min="1" max="1" width="5.28515625" customWidth="1"/>
    <col min="2" max="2" width="7.7109375" customWidth="1"/>
    <col min="3" max="3" width="7.140625" customWidth="1"/>
    <col min="4" max="4" width="17.7109375" customWidth="1"/>
    <col min="5" max="5" width="6.42578125" customWidth="1"/>
    <col min="6" max="6" width="23.140625" customWidth="1"/>
    <col min="7" max="7" width="4.7109375" style="39" customWidth="1"/>
    <col min="8" max="8" width="21.140625" customWidth="1"/>
    <col min="9" max="9" width="5.7109375" customWidth="1"/>
    <col min="10" max="10" width="21" customWidth="1"/>
  </cols>
  <sheetData>
    <row r="1" spans="2:15" ht="27" thickBot="1">
      <c r="B1" s="365" t="s">
        <v>113</v>
      </c>
      <c r="C1" s="365"/>
      <c r="D1" s="365"/>
      <c r="E1" s="365"/>
      <c r="F1" s="365"/>
      <c r="G1" s="365"/>
      <c r="H1" s="365"/>
      <c r="I1" s="365"/>
      <c r="J1" s="366"/>
    </row>
    <row r="2" spans="2:15" ht="15.75">
      <c r="B2" s="7" t="s">
        <v>37</v>
      </c>
      <c r="C2" s="2"/>
      <c r="D2" s="2"/>
      <c r="E2" s="2"/>
      <c r="F2" s="2"/>
      <c r="G2" s="46"/>
      <c r="H2" s="2"/>
      <c r="I2" s="2"/>
      <c r="J2" s="3"/>
    </row>
    <row r="3" spans="2:15" ht="19.5" thickBot="1">
      <c r="B3" s="1"/>
      <c r="C3" s="2"/>
      <c r="D3" s="2"/>
      <c r="E3" s="2"/>
      <c r="F3" s="5"/>
      <c r="G3" s="35"/>
      <c r="H3" s="2"/>
      <c r="I3" s="2"/>
      <c r="J3" s="3"/>
      <c r="L3" s="2"/>
      <c r="M3" s="36"/>
      <c r="N3" s="11"/>
      <c r="O3" s="2"/>
    </row>
    <row r="4" spans="2:15" s="9" customFormat="1" ht="21.75" thickBot="1">
      <c r="B4" s="16" t="s">
        <v>38</v>
      </c>
      <c r="C4" s="41" t="s">
        <v>47</v>
      </c>
      <c r="D4" s="41"/>
      <c r="E4" s="18" t="s">
        <v>53</v>
      </c>
      <c r="F4" s="17"/>
      <c r="G4" s="45" t="s">
        <v>52</v>
      </c>
      <c r="H4" s="17"/>
      <c r="I4" s="45" t="s">
        <v>26</v>
      </c>
      <c r="J4" s="17"/>
      <c r="L4" s="21"/>
      <c r="M4" s="36"/>
      <c r="N4" s="11"/>
      <c r="O4" s="21"/>
    </row>
    <row r="5" spans="2:15" s="8" customFormat="1" ht="19.5" thickBot="1">
      <c r="B5" s="42" t="s">
        <v>0</v>
      </c>
      <c r="C5" s="25" t="s">
        <v>2</v>
      </c>
      <c r="D5" s="42" t="s">
        <v>51</v>
      </c>
      <c r="E5" s="25" t="s">
        <v>2</v>
      </c>
      <c r="F5" s="42" t="s">
        <v>54</v>
      </c>
      <c r="G5" s="25" t="s">
        <v>2</v>
      </c>
      <c r="H5" s="42" t="s">
        <v>58</v>
      </c>
      <c r="I5" s="25" t="s">
        <v>2</v>
      </c>
      <c r="J5" s="43" t="s">
        <v>62</v>
      </c>
      <c r="L5" s="11"/>
      <c r="M5" s="36"/>
      <c r="N5" s="11"/>
      <c r="O5" s="11"/>
    </row>
    <row r="6" spans="2:15" s="8" customFormat="1" ht="19.5" thickBot="1">
      <c r="B6" s="42" t="s">
        <v>1</v>
      </c>
      <c r="C6" s="25" t="s">
        <v>3</v>
      </c>
      <c r="D6" s="42" t="s">
        <v>50</v>
      </c>
      <c r="E6" s="25" t="s">
        <v>3</v>
      </c>
      <c r="F6" s="42" t="s">
        <v>55</v>
      </c>
      <c r="G6" s="25" t="s">
        <v>3</v>
      </c>
      <c r="H6" s="42" t="s">
        <v>61</v>
      </c>
      <c r="I6" s="25" t="s">
        <v>3</v>
      </c>
      <c r="J6" s="43" t="s">
        <v>63</v>
      </c>
      <c r="L6" s="11"/>
      <c r="M6" s="36"/>
      <c r="N6" s="11"/>
      <c r="O6" s="11"/>
    </row>
    <row r="7" spans="2:15" s="8" customFormat="1" ht="19.5" thickBot="1">
      <c r="B7" s="42"/>
      <c r="C7" s="25" t="s">
        <v>4</v>
      </c>
      <c r="D7" s="42" t="s">
        <v>49</v>
      </c>
      <c r="E7" s="25" t="s">
        <v>4</v>
      </c>
      <c r="F7" s="42" t="s">
        <v>56</v>
      </c>
      <c r="G7" s="25" t="s">
        <v>4</v>
      </c>
      <c r="H7" s="42" t="s">
        <v>60</v>
      </c>
      <c r="I7" s="25" t="s">
        <v>4</v>
      </c>
      <c r="J7" s="44" t="s">
        <v>64</v>
      </c>
      <c r="L7" s="11"/>
    </row>
    <row r="8" spans="2:15" s="8" customFormat="1" ht="19.5" thickBot="1">
      <c r="B8" s="42"/>
      <c r="C8" s="25" t="s">
        <v>5</v>
      </c>
      <c r="D8" s="42" t="s">
        <v>48</v>
      </c>
      <c r="E8" s="25" t="s">
        <v>5</v>
      </c>
      <c r="F8" s="42" t="s">
        <v>57</v>
      </c>
      <c r="G8" s="25" t="s">
        <v>5</v>
      </c>
      <c r="H8" s="42" t="s">
        <v>59</v>
      </c>
      <c r="I8" s="25" t="s">
        <v>5</v>
      </c>
      <c r="J8" s="44" t="s">
        <v>65</v>
      </c>
      <c r="O8" s="11"/>
    </row>
    <row r="9" spans="2:15" ht="15.75" thickBot="1">
      <c r="B9" s="1"/>
      <c r="C9" s="2"/>
      <c r="D9" s="2"/>
      <c r="E9" s="2"/>
      <c r="F9" s="2"/>
      <c r="G9" s="35"/>
      <c r="H9" s="2"/>
      <c r="I9" s="2"/>
      <c r="J9" s="3"/>
    </row>
    <row r="10" spans="2:15" s="9" customFormat="1" ht="21.75" thickBot="1">
      <c r="B10" s="58" t="s">
        <v>46</v>
      </c>
      <c r="C10" s="53"/>
      <c r="D10" s="53"/>
      <c r="E10" s="53"/>
      <c r="F10" s="53"/>
      <c r="G10" s="54"/>
      <c r="H10" s="53"/>
      <c r="I10" s="53"/>
      <c r="J10" s="59"/>
    </row>
    <row r="11" spans="2:15" s="9" customFormat="1" ht="21.75" thickBot="1">
      <c r="B11" s="62" t="s">
        <v>6</v>
      </c>
      <c r="C11" s="48"/>
      <c r="D11" s="49"/>
      <c r="E11" s="48"/>
      <c r="F11" s="19"/>
      <c r="G11" s="37"/>
      <c r="H11" s="21"/>
      <c r="I11" s="21"/>
      <c r="J11" s="20"/>
    </row>
    <row r="12" spans="2:15" s="8" customFormat="1" ht="21">
      <c r="B12" s="63" t="s">
        <v>27</v>
      </c>
      <c r="C12" s="47"/>
      <c r="D12" s="28"/>
      <c r="E12" s="10"/>
      <c r="F12" s="11"/>
      <c r="G12" s="36"/>
      <c r="H12" s="24"/>
      <c r="I12" s="11"/>
      <c r="J12" s="10"/>
    </row>
    <row r="13" spans="2:15" s="8" customFormat="1" ht="21">
      <c r="B13" s="13"/>
      <c r="C13" s="14"/>
      <c r="D13" s="14"/>
      <c r="E13" s="12"/>
      <c r="F13" s="11"/>
      <c r="G13" s="36"/>
      <c r="H13" s="24"/>
      <c r="I13" s="11"/>
      <c r="J13" s="10"/>
    </row>
    <row r="14" spans="2:15" s="9" customFormat="1" ht="21">
      <c r="B14" s="55" t="s">
        <v>45</v>
      </c>
      <c r="C14" s="56"/>
      <c r="D14" s="56"/>
      <c r="E14" s="56"/>
      <c r="F14" s="56"/>
      <c r="G14" s="57"/>
      <c r="H14" s="56"/>
      <c r="I14" s="56"/>
      <c r="J14" s="64"/>
    </row>
    <row r="15" spans="2:15" s="8" customFormat="1" ht="18.75">
      <c r="B15" s="51" t="s">
        <v>24</v>
      </c>
      <c r="C15" s="11"/>
      <c r="D15" s="11"/>
      <c r="E15" s="11"/>
      <c r="F15" s="11"/>
      <c r="G15" s="36"/>
      <c r="H15" s="11"/>
      <c r="I15" s="11"/>
      <c r="J15" s="10"/>
      <c r="K15" s="11"/>
      <c r="L15" s="11"/>
    </row>
    <row r="16" spans="2:15" s="8" customFormat="1" ht="18.75">
      <c r="B16" s="51" t="s">
        <v>73</v>
      </c>
      <c r="C16" s="11"/>
      <c r="D16" s="11"/>
      <c r="E16" s="11"/>
      <c r="F16" s="11"/>
      <c r="G16" s="36"/>
      <c r="H16" s="11"/>
      <c r="I16" s="11"/>
      <c r="J16" s="10"/>
      <c r="M16" s="11"/>
    </row>
    <row r="17" spans="2:13" s="8" customFormat="1" ht="18.75">
      <c r="B17" s="51" t="s">
        <v>29</v>
      </c>
      <c r="C17" s="11"/>
      <c r="D17" s="11"/>
      <c r="E17" s="11"/>
      <c r="F17" s="11"/>
      <c r="G17" s="36"/>
      <c r="H17" s="60"/>
      <c r="I17" s="11"/>
      <c r="J17" s="10"/>
    </row>
    <row r="18" spans="2:13" s="8" customFormat="1" ht="19.5" thickBot="1">
      <c r="B18" s="51" t="s">
        <v>28</v>
      </c>
      <c r="C18" s="11"/>
      <c r="D18" s="11"/>
      <c r="E18" s="11"/>
      <c r="F18" s="11"/>
      <c r="G18" s="36"/>
      <c r="H18" s="11"/>
      <c r="I18" s="11"/>
      <c r="J18" s="10"/>
    </row>
    <row r="19" spans="2:13" s="9" customFormat="1" ht="21.75" thickBot="1">
      <c r="B19" s="52" t="s">
        <v>44</v>
      </c>
      <c r="C19" s="53"/>
      <c r="D19" s="53"/>
      <c r="E19" s="53"/>
      <c r="F19" s="53"/>
      <c r="G19" s="54"/>
      <c r="H19" s="53"/>
      <c r="I19" s="53"/>
      <c r="J19" s="59"/>
    </row>
    <row r="20" spans="2:13" s="8" customFormat="1" ht="18.75">
      <c r="B20" s="15" t="s">
        <v>25</v>
      </c>
      <c r="C20" s="11"/>
      <c r="D20" s="11"/>
      <c r="E20" s="11"/>
      <c r="F20" s="11"/>
      <c r="G20" s="36"/>
      <c r="H20" s="11"/>
      <c r="I20" s="11"/>
      <c r="J20" s="10"/>
    </row>
    <row r="21" spans="2:13" s="8" customFormat="1" ht="18.75">
      <c r="B21" s="343" t="s">
        <v>109</v>
      </c>
      <c r="C21" s="344"/>
      <c r="D21" s="344"/>
      <c r="E21" s="344"/>
      <c r="F21" s="344"/>
      <c r="G21" s="345"/>
      <c r="H21" s="344"/>
      <c r="I21" s="344"/>
      <c r="J21" s="346"/>
    </row>
    <row r="22" spans="2:13" s="8" customFormat="1" ht="18.75">
      <c r="B22" s="343" t="s">
        <v>112</v>
      </c>
      <c r="C22" s="344"/>
      <c r="D22" s="344"/>
      <c r="E22" s="344"/>
      <c r="F22" s="344"/>
      <c r="G22" s="345"/>
      <c r="H22" s="344"/>
      <c r="I22" s="344"/>
      <c r="J22" s="346"/>
    </row>
    <row r="23" spans="2:13" s="8" customFormat="1" ht="18.75">
      <c r="B23" s="252" t="s">
        <v>104</v>
      </c>
      <c r="C23" s="11"/>
      <c r="D23" s="11"/>
      <c r="E23" s="11"/>
      <c r="F23" s="11"/>
      <c r="G23" s="36"/>
      <c r="H23" s="11"/>
      <c r="I23" s="11"/>
      <c r="J23" s="10"/>
    </row>
    <row r="24" spans="2:13" s="8" customFormat="1" ht="18.75">
      <c r="B24" s="15" t="s">
        <v>35</v>
      </c>
      <c r="C24" s="11"/>
      <c r="D24" s="11"/>
      <c r="E24" s="11"/>
      <c r="F24" s="11"/>
      <c r="G24" s="36"/>
      <c r="H24" s="11"/>
      <c r="I24" s="11"/>
      <c r="J24" s="10"/>
    </row>
    <row r="25" spans="2:13" s="8" customFormat="1" ht="18.75">
      <c r="B25" s="15" t="s">
        <v>94</v>
      </c>
      <c r="C25" s="11"/>
      <c r="D25" s="11"/>
      <c r="E25" s="11"/>
      <c r="F25" s="11"/>
      <c r="G25" s="36"/>
      <c r="H25" s="11"/>
      <c r="I25" s="11"/>
      <c r="J25" s="10"/>
    </row>
    <row r="26" spans="2:13" s="8" customFormat="1" ht="19.5" thickBot="1">
      <c r="B26" s="15" t="s">
        <v>36</v>
      </c>
      <c r="C26" s="11"/>
      <c r="D26" s="11"/>
      <c r="E26" s="11"/>
      <c r="F26" s="11"/>
      <c r="G26" s="36"/>
      <c r="H26" s="11"/>
      <c r="I26" s="11"/>
      <c r="J26" s="10"/>
    </row>
    <row r="27" spans="2:13" s="9" customFormat="1" ht="21.75" thickBot="1">
      <c r="B27" s="52" t="s">
        <v>41</v>
      </c>
      <c r="C27" s="53"/>
      <c r="D27" s="53"/>
      <c r="E27" s="53"/>
      <c r="F27" s="53"/>
      <c r="G27" s="54"/>
      <c r="H27" s="53"/>
      <c r="I27" s="53"/>
      <c r="J27" s="59"/>
    </row>
    <row r="28" spans="2:13" s="8" customFormat="1" ht="18.75">
      <c r="B28" s="51" t="s">
        <v>79</v>
      </c>
      <c r="C28" s="11"/>
      <c r="D28" s="11"/>
      <c r="E28" s="11"/>
      <c r="F28" s="11"/>
      <c r="G28" s="36"/>
      <c r="H28" s="11"/>
      <c r="I28" s="11"/>
      <c r="J28" s="10"/>
      <c r="M28" s="11"/>
    </row>
    <row r="29" spans="2:13" s="8" customFormat="1" ht="18.75">
      <c r="B29" s="51" t="s">
        <v>80</v>
      </c>
      <c r="C29" s="11"/>
      <c r="D29" s="11"/>
      <c r="E29" s="11"/>
      <c r="F29" s="11"/>
      <c r="G29" s="36"/>
      <c r="H29" s="11"/>
      <c r="I29" s="11"/>
      <c r="J29" s="10"/>
    </row>
    <row r="30" spans="2:13" s="8" customFormat="1" ht="18.75">
      <c r="B30" s="51" t="s">
        <v>30</v>
      </c>
      <c r="C30" s="11"/>
      <c r="D30" s="11"/>
      <c r="E30" s="11"/>
      <c r="F30" s="11"/>
      <c r="G30" s="36"/>
      <c r="H30" s="11"/>
      <c r="I30" s="11"/>
      <c r="J30" s="10"/>
      <c r="M30" s="79"/>
    </row>
    <row r="31" spans="2:13" ht="21.75" thickBot="1">
      <c r="B31" s="55" t="s">
        <v>42</v>
      </c>
      <c r="C31" s="22"/>
      <c r="D31" s="22"/>
      <c r="E31" s="22"/>
      <c r="F31" s="22"/>
      <c r="G31" s="38"/>
      <c r="H31" s="22"/>
      <c r="I31" s="22"/>
      <c r="J31" s="23"/>
    </row>
    <row r="32" spans="2:13" ht="16.5" thickBot="1">
      <c r="B32" s="50" t="s">
        <v>39</v>
      </c>
      <c r="C32" s="33"/>
      <c r="D32" s="29"/>
      <c r="E32" s="98"/>
      <c r="F32" s="2"/>
      <c r="G32" s="35"/>
      <c r="H32" s="2"/>
      <c r="I32" s="2"/>
      <c r="J32" s="3"/>
      <c r="M32" s="2"/>
    </row>
    <row r="33" spans="1:10" ht="19.5" thickBot="1">
      <c r="A33" s="3"/>
      <c r="B33" s="101" t="s">
        <v>76</v>
      </c>
      <c r="C33" s="104" t="s">
        <v>74</v>
      </c>
      <c r="D33" s="96">
        <v>55000</v>
      </c>
      <c r="E33" s="68"/>
      <c r="F33" s="97"/>
      <c r="G33" s="35"/>
      <c r="H33" s="2"/>
      <c r="I33" s="2"/>
      <c r="J33" s="3"/>
    </row>
    <row r="34" spans="1:10" ht="19.5" thickBot="1">
      <c r="A34" s="3"/>
      <c r="B34" s="102" t="s">
        <v>77</v>
      </c>
      <c r="C34" s="104" t="s">
        <v>75</v>
      </c>
      <c r="D34" s="100">
        <v>55000</v>
      </c>
      <c r="E34" s="68"/>
      <c r="F34" s="97"/>
      <c r="G34" s="35"/>
      <c r="H34" s="2"/>
      <c r="I34" s="2"/>
      <c r="J34" s="3"/>
    </row>
    <row r="35" spans="1:10" ht="19.5" thickBot="1">
      <c r="A35" s="3"/>
      <c r="B35" s="103" t="s">
        <v>78</v>
      </c>
      <c r="C35" s="104" t="s">
        <v>75</v>
      </c>
      <c r="D35" s="96">
        <v>71000</v>
      </c>
      <c r="E35" s="99"/>
      <c r="F35" s="36"/>
      <c r="G35" s="35"/>
      <c r="H35" s="2"/>
      <c r="I35" s="2"/>
      <c r="J35" s="3"/>
    </row>
    <row r="36" spans="1:10" s="9" customFormat="1" ht="21.75" thickBot="1">
      <c r="B36" s="75" t="s">
        <v>43</v>
      </c>
      <c r="C36" s="76"/>
      <c r="D36" s="65"/>
      <c r="E36" s="65"/>
      <c r="F36" s="65"/>
      <c r="G36" s="77"/>
      <c r="H36" s="76"/>
      <c r="I36" s="76"/>
      <c r="J36" s="78"/>
    </row>
    <row r="37" spans="1:10" s="9" customFormat="1" ht="21.75" thickBot="1">
      <c r="B37" s="69"/>
      <c r="C37" s="74"/>
      <c r="D37" s="80" t="s">
        <v>2</v>
      </c>
      <c r="E37" s="71"/>
      <c r="F37" s="81" t="s">
        <v>3</v>
      </c>
      <c r="G37" s="72"/>
      <c r="H37" s="82" t="s">
        <v>4</v>
      </c>
      <c r="I37" s="70"/>
      <c r="J37" s="73"/>
    </row>
    <row r="38" spans="1:10" s="8" customFormat="1" ht="19.5" thickBot="1">
      <c r="B38" s="26" t="s">
        <v>31</v>
      </c>
      <c r="C38" s="66"/>
      <c r="D38" s="92">
        <v>50</v>
      </c>
      <c r="E38" s="93"/>
      <c r="F38" s="92">
        <v>30</v>
      </c>
      <c r="G38" s="94"/>
      <c r="H38" s="92">
        <v>20</v>
      </c>
      <c r="I38" s="11"/>
      <c r="J38" s="10"/>
    </row>
    <row r="39" spans="1:10" s="8" customFormat="1" ht="19.5" thickBot="1">
      <c r="B39" s="26" t="s">
        <v>32</v>
      </c>
      <c r="C39" s="67"/>
      <c r="D39" s="67">
        <f>D38</f>
        <v>50</v>
      </c>
      <c r="E39" s="83"/>
      <c r="F39" s="67">
        <f>F38</f>
        <v>30</v>
      </c>
      <c r="G39" s="84"/>
      <c r="H39" s="67">
        <f>H38</f>
        <v>20</v>
      </c>
      <c r="I39" s="11"/>
      <c r="J39" s="10"/>
    </row>
    <row r="40" spans="1:10" s="8" customFormat="1" ht="19.5" thickBot="1">
      <c r="B40" s="27" t="s">
        <v>33</v>
      </c>
      <c r="C40" s="61"/>
      <c r="D40" s="61">
        <f>D38</f>
        <v>50</v>
      </c>
      <c r="E40" s="83"/>
      <c r="F40" s="61">
        <f>F38</f>
        <v>30</v>
      </c>
      <c r="G40" s="84"/>
      <c r="H40" s="61">
        <f>H38</f>
        <v>20</v>
      </c>
      <c r="I40" s="11"/>
      <c r="J40" s="10"/>
    </row>
    <row r="41" spans="1:10" ht="15.75" thickBot="1">
      <c r="B41" s="4"/>
      <c r="C41" s="5"/>
      <c r="D41" s="5"/>
      <c r="E41" s="5"/>
      <c r="F41" s="5" t="s">
        <v>34</v>
      </c>
      <c r="G41" s="40"/>
      <c r="H41" s="5"/>
      <c r="I41" s="5"/>
      <c r="J41" s="6"/>
    </row>
  </sheetData>
  <sheetProtection algorithmName="SHA-512" hashValue="dRYo95wFcn7sLm7sCSXAtXoD5oiJZWzr7nYgnjj9L+a2NPy3GwvL0vhskV5OGhjl2Hx9/4TLS5sCP6znJo3MOQ==" saltValue="y4DkbrmC0Y+G/BkbWV2uwA==" spinCount="100000" sheet="1" objects="1" scenarios="1"/>
  <mergeCells count="1">
    <mergeCell ref="B1:J1"/>
  </mergeCells>
  <pageMargins left="0.7" right="0.7" top="0.75" bottom="0.75" header="0.3" footer="0.3"/>
  <pageSetup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selection activeCell="D1" sqref="D1"/>
    </sheetView>
  </sheetViews>
  <sheetFormatPr defaultRowHeight="15"/>
  <cols>
    <col min="1" max="1" width="43.140625" style="333" customWidth="1"/>
    <col min="2" max="4" width="19.85546875" style="196" customWidth="1"/>
    <col min="5" max="5" width="22" style="196" bestFit="1" customWidth="1"/>
    <col min="6" max="6" width="15.7109375" style="194" bestFit="1" customWidth="1"/>
    <col min="7" max="7" width="7.140625" style="194" bestFit="1" customWidth="1"/>
    <col min="8" max="8" width="14.7109375" style="194" bestFit="1" customWidth="1"/>
    <col min="9" max="9" width="13.5703125" style="194" bestFit="1" customWidth="1"/>
    <col min="10" max="10" width="13.85546875" style="195" bestFit="1" customWidth="1"/>
    <col min="11" max="11" width="9.140625" style="195"/>
    <col min="12" max="16384" width="9.140625" style="196"/>
  </cols>
  <sheetData>
    <row r="1" spans="1:11" ht="29.25" thickBot="1">
      <c r="A1" s="330" t="s">
        <v>67</v>
      </c>
      <c r="B1" s="190">
        <f>JAN!B1</f>
        <v>870</v>
      </c>
      <c r="C1" s="191"/>
      <c r="D1" s="192">
        <f>JAN!D1</f>
        <v>2020</v>
      </c>
      <c r="E1" s="193" t="s">
        <v>98</v>
      </c>
    </row>
    <row r="2" spans="1:11" ht="26.25">
      <c r="A2" s="330"/>
      <c r="B2" s="197"/>
      <c r="C2" s="191"/>
      <c r="D2" s="191"/>
      <c r="E2" s="198"/>
      <c r="H2" s="199"/>
    </row>
    <row r="3" spans="1:11" ht="27" thickBot="1">
      <c r="A3" s="336"/>
      <c r="B3" s="32"/>
      <c r="C3" s="9"/>
      <c r="D3" s="9"/>
      <c r="E3" s="171"/>
      <c r="H3" s="199"/>
    </row>
    <row r="4" spans="1:11" s="205" customFormat="1" ht="27" thickBot="1">
      <c r="A4" s="336"/>
      <c r="B4" s="88" t="s">
        <v>93</v>
      </c>
      <c r="C4" s="89" t="s">
        <v>92</v>
      </c>
      <c r="D4" s="89" t="s">
        <v>91</v>
      </c>
      <c r="E4" s="91" t="s">
        <v>15</v>
      </c>
      <c r="F4" s="194"/>
      <c r="G4" s="194"/>
      <c r="H4" s="194"/>
      <c r="I4" s="194"/>
      <c r="J4" s="204"/>
      <c r="K4" s="204"/>
    </row>
    <row r="5" spans="1:11" s="119" customFormat="1" ht="39.950000000000003" customHeight="1" thickBot="1">
      <c r="A5" s="297" t="str">
        <f>JAN!A5</f>
        <v>Last Year Sales</v>
      </c>
      <c r="B5" s="172">
        <f>APR!G5</f>
        <v>59376.039999999994</v>
      </c>
      <c r="C5" s="173">
        <f>MAY!G5</f>
        <v>74951.8</v>
      </c>
      <c r="D5" s="173">
        <f>JUN!G5</f>
        <v>55031</v>
      </c>
      <c r="E5" s="174">
        <f>SUM(B5:D5)</f>
        <v>189358.84</v>
      </c>
      <c r="F5" s="118"/>
      <c r="G5" s="118"/>
      <c r="H5" s="118"/>
      <c r="I5" s="118"/>
      <c r="J5" s="118"/>
      <c r="K5" s="118"/>
    </row>
    <row r="6" spans="1:11" s="39" customFormat="1" ht="39.950000000000003" customHeight="1" thickBot="1">
      <c r="A6" s="337" t="str">
        <f>JAN!A6</f>
        <v>week Ending Date</v>
      </c>
      <c r="B6" s="175"/>
      <c r="C6" s="175"/>
      <c r="D6" s="175"/>
      <c r="E6" s="292">
        <f>F8</f>
        <v>55.11</v>
      </c>
      <c r="F6" s="283"/>
      <c r="G6" s="268"/>
      <c r="H6" s="268"/>
      <c r="I6" s="268"/>
      <c r="J6" s="85"/>
      <c r="K6" s="85"/>
    </row>
    <row r="7" spans="1:11" s="119" customFormat="1" ht="39.950000000000003" customHeight="1" thickBot="1">
      <c r="A7" s="297" t="str">
        <f>JAN!A7</f>
        <v>Net Sales for Week</v>
      </c>
      <c r="B7" s="172">
        <f>APR!G7</f>
        <v>35430.31</v>
      </c>
      <c r="C7" s="173">
        <f>MAY!G7</f>
        <v>64968.5</v>
      </c>
      <c r="D7" s="173">
        <f>JUN!G7</f>
        <v>56819</v>
      </c>
      <c r="E7" s="174">
        <f>SUM(B7:D7)</f>
        <v>157217.81</v>
      </c>
      <c r="F7" s="118"/>
      <c r="G7" s="118"/>
      <c r="H7" s="118"/>
      <c r="I7" s="118"/>
      <c r="J7" s="118"/>
      <c r="K7" s="118"/>
    </row>
    <row r="8" spans="1:11" s="119" customFormat="1" ht="39.950000000000003" customHeight="1" thickBot="1">
      <c r="A8" s="297" t="str">
        <f>JAN!A8</f>
        <v>Catering Sales $$</v>
      </c>
      <c r="B8" s="172">
        <f>APR!G8</f>
        <v>460</v>
      </c>
      <c r="C8" s="173">
        <f>MAY!G8</f>
        <v>857</v>
      </c>
      <c r="D8" s="173">
        <f>JUN!G8</f>
        <v>520</v>
      </c>
      <c r="E8" s="174">
        <f>SUM(B8:D8)</f>
        <v>1837</v>
      </c>
      <c r="F8" s="122">
        <f>SUM(E8*0.03)</f>
        <v>55.11</v>
      </c>
      <c r="G8" s="118"/>
      <c r="H8" s="118"/>
      <c r="I8" s="118"/>
      <c r="J8" s="118"/>
      <c r="K8" s="118"/>
    </row>
    <row r="9" spans="1:11" s="127" customFormat="1" ht="39.950000000000003" customHeight="1" thickBot="1">
      <c r="A9" s="297" t="str">
        <f>JAN!A9</f>
        <v>Sales After Catering</v>
      </c>
      <c r="B9" s="172">
        <f>APR!G9</f>
        <v>34970.31</v>
      </c>
      <c r="C9" s="173">
        <f>MAY!G9</f>
        <v>64111.5</v>
      </c>
      <c r="D9" s="173">
        <f>JUN!G9</f>
        <v>56299</v>
      </c>
      <c r="E9" s="178">
        <f>SUM(E7-E8)</f>
        <v>155380.81</v>
      </c>
      <c r="F9" s="126"/>
      <c r="G9" s="267"/>
      <c r="H9" s="270"/>
      <c r="I9" s="271"/>
      <c r="J9" s="126"/>
      <c r="K9" s="126"/>
    </row>
    <row r="10" spans="1:11" s="119" customFormat="1" ht="39.950000000000003" customHeight="1" thickBot="1">
      <c r="A10" s="297" t="str">
        <f>JAN!A10</f>
        <v>Sales Up/Down</v>
      </c>
      <c r="B10" s="261">
        <f>APR!G10</f>
        <v>-0.40328944133020656</v>
      </c>
      <c r="C10" s="262">
        <f>MAY!G10</f>
        <v>-0.13319626746789273</v>
      </c>
      <c r="D10" s="262">
        <f>JUN!G10</f>
        <v>3.2490777925169453E-2</v>
      </c>
      <c r="E10" s="179">
        <f>(E7-E5)/E5</f>
        <v>-0.16973609470780451</v>
      </c>
      <c r="F10" s="267"/>
      <c r="G10" s="267"/>
      <c r="H10" s="126"/>
      <c r="I10" s="271"/>
      <c r="J10" s="118"/>
      <c r="K10" s="118"/>
    </row>
    <row r="11" spans="1:11" s="119" customFormat="1" ht="39.950000000000003" customHeight="1" thickBot="1">
      <c r="A11" s="297" t="str">
        <f>JAN!A11</f>
        <v>GRAD</v>
      </c>
      <c r="B11" s="172" t="str">
        <f>APR!G11</f>
        <v>F</v>
      </c>
      <c r="C11" s="173" t="str">
        <f>MAY!G11</f>
        <v>F</v>
      </c>
      <c r="D11" s="173" t="str">
        <f>JUN!G11</f>
        <v>C</v>
      </c>
      <c r="E11" s="180" t="str">
        <f>IF(E10&gt;=10%,"A",IF(E10&gt;=7%,"B",IF(E10&gt;2%,"C",IF(E10&lt;2%,"F",))))</f>
        <v>F</v>
      </c>
      <c r="F11" s="267"/>
      <c r="G11" s="267"/>
      <c r="H11" s="126"/>
      <c r="I11" s="271"/>
      <c r="J11" s="118"/>
      <c r="K11" s="118"/>
    </row>
    <row r="12" spans="1:11" s="119" customFormat="1" ht="39.950000000000003" customHeight="1" thickBot="1">
      <c r="A12" s="297">
        <f>JAN!A12</f>
        <v>0</v>
      </c>
      <c r="B12" s="172">
        <f>APR!G12</f>
        <v>0</v>
      </c>
      <c r="C12" s="173">
        <f>MAY!G12</f>
        <v>0</v>
      </c>
      <c r="D12" s="173">
        <f>JUN!G12</f>
        <v>20</v>
      </c>
      <c r="E12" s="285">
        <f>SUM(B12:D12)</f>
        <v>20</v>
      </c>
      <c r="F12" s="267"/>
      <c r="G12" s="272"/>
      <c r="H12" s="270"/>
      <c r="I12" s="273"/>
      <c r="J12" s="134"/>
      <c r="K12" s="118"/>
    </row>
    <row r="13" spans="1:11" s="119" customFormat="1" ht="39.950000000000003" customHeight="1" thickBot="1">
      <c r="A13" s="297" t="str">
        <f>JAN!A13</f>
        <v>Reinhart Payout</v>
      </c>
      <c r="B13" s="172">
        <f>APR!G13</f>
        <v>10179.08</v>
      </c>
      <c r="C13" s="173">
        <f>MAY!G13</f>
        <v>17890.25</v>
      </c>
      <c r="D13" s="173">
        <f>JUN!G13</f>
        <v>16991.3</v>
      </c>
      <c r="E13" s="174">
        <f>SUM(B13:D13)</f>
        <v>45060.630000000005</v>
      </c>
      <c r="F13" s="274"/>
      <c r="G13" s="134"/>
      <c r="H13" s="138"/>
      <c r="I13" s="134"/>
      <c r="J13" s="138"/>
      <c r="K13" s="118"/>
    </row>
    <row r="14" spans="1:11" s="119" customFormat="1" ht="39.950000000000003" customHeight="1" thickBot="1">
      <c r="A14" s="297" t="str">
        <f>JAN!A14</f>
        <v xml:space="preserve">Transfer ( IN / OUT) </v>
      </c>
      <c r="B14" s="172">
        <f>APR!G14</f>
        <v>0</v>
      </c>
      <c r="C14" s="173">
        <f>MAY!G14</f>
        <v>112.82</v>
      </c>
      <c r="D14" s="173">
        <f>JUN!G14</f>
        <v>0</v>
      </c>
      <c r="E14" s="174">
        <f>SUM(B14:D14)</f>
        <v>112.82</v>
      </c>
      <c r="F14" s="274"/>
      <c r="G14" s="134"/>
      <c r="H14" s="138"/>
      <c r="I14" s="134"/>
      <c r="J14" s="138"/>
      <c r="K14" s="118"/>
    </row>
    <row r="15" spans="1:11" s="119" customFormat="1" ht="39.950000000000003" customHeight="1" thickBot="1">
      <c r="A15" s="297" t="str">
        <f>JAN!A15</f>
        <v>Food Cost %</v>
      </c>
      <c r="B15" s="261">
        <f>APR!G15</f>
        <v>0.28729864344963396</v>
      </c>
      <c r="C15" s="262">
        <f>MAY!G15</f>
        <v>0.27536806298436933</v>
      </c>
      <c r="D15" s="262">
        <f>JUN!G15</f>
        <v>0.29904257378693744</v>
      </c>
      <c r="E15" s="179">
        <f>SUM(E13/E7)</f>
        <v>0.28661275716790613</v>
      </c>
      <c r="F15" s="275"/>
      <c r="G15" s="272"/>
      <c r="H15" s="276"/>
      <c r="I15" s="272"/>
      <c r="J15" s="141"/>
      <c r="K15" s="118"/>
    </row>
    <row r="16" spans="1:11" s="119" customFormat="1" ht="39.950000000000003" customHeight="1" thickBot="1">
      <c r="A16" s="297" t="str">
        <f>JAN!A16</f>
        <v>GRAD</v>
      </c>
      <c r="B16" s="172" t="str">
        <f>APR!G16</f>
        <v>B</v>
      </c>
      <c r="C16" s="173" t="str">
        <f>MAY!G16</f>
        <v>B</v>
      </c>
      <c r="D16" s="173" t="str">
        <f>JUN!G16</f>
        <v>B</v>
      </c>
      <c r="E16" s="180" t="str">
        <f>IF(E15&lt;=27%,"A",IF(E15&lt;=30%,"B",IF(E15&lt;32%,"C",IF(E15&gt;=32%,"F",))))</f>
        <v>B</v>
      </c>
      <c r="F16" s="275"/>
      <c r="G16" s="272"/>
      <c r="H16" s="276"/>
      <c r="I16" s="272"/>
      <c r="J16" s="141"/>
      <c r="K16" s="118"/>
    </row>
    <row r="17" spans="1:11" s="119" customFormat="1" ht="39.950000000000003" customHeight="1" thickBot="1">
      <c r="A17" s="297">
        <f>JAN!A17</f>
        <v>0</v>
      </c>
      <c r="B17" s="172">
        <f>APR!G17</f>
        <v>30</v>
      </c>
      <c r="C17" s="173">
        <f>MAY!G17</f>
        <v>30</v>
      </c>
      <c r="D17" s="173">
        <f>JUN!G17</f>
        <v>30</v>
      </c>
      <c r="E17" s="285">
        <f>SUM(B17:D17)</f>
        <v>90</v>
      </c>
      <c r="F17" s="267"/>
      <c r="G17" s="277"/>
      <c r="H17" s="267"/>
      <c r="I17" s="278"/>
      <c r="J17" s="118"/>
      <c r="K17" s="118"/>
    </row>
    <row r="18" spans="1:11" s="119" customFormat="1" ht="39.950000000000003" customHeight="1" thickBot="1">
      <c r="A18" s="297" t="str">
        <f>JAN!A18</f>
        <v>Labor $$</v>
      </c>
      <c r="B18" s="172">
        <f>APR!G18</f>
        <v>7568.7</v>
      </c>
      <c r="C18" s="173">
        <f>MAY!G18</f>
        <v>12368.099999999999</v>
      </c>
      <c r="D18" s="173">
        <f>JUN!G18</f>
        <v>12037.3</v>
      </c>
      <c r="E18" s="174">
        <f>SUM(B18:D18)</f>
        <v>31974.1</v>
      </c>
      <c r="F18" s="134"/>
      <c r="G18" s="279"/>
      <c r="H18" s="118"/>
      <c r="I18" s="280"/>
      <c r="J18" s="118"/>
      <c r="K18" s="118"/>
    </row>
    <row r="19" spans="1:11" s="119" customFormat="1" ht="39.950000000000003" customHeight="1" thickBot="1">
      <c r="A19" s="297" t="str">
        <f>JAN!A19</f>
        <v>labor %</v>
      </c>
      <c r="B19" s="261">
        <f>APR!G19</f>
        <v>0.21362217829875044</v>
      </c>
      <c r="C19" s="262">
        <f>MAY!G19</f>
        <v>0.19037071811724141</v>
      </c>
      <c r="D19" s="262">
        <f>JUN!G19</f>
        <v>0.2118534293106179</v>
      </c>
      <c r="E19" s="179">
        <f>SUM(E18/E7)</f>
        <v>0.20337454134490232</v>
      </c>
      <c r="F19" s="267"/>
      <c r="G19" s="281"/>
      <c r="H19" s="267"/>
      <c r="I19" s="278"/>
      <c r="J19" s="118"/>
      <c r="K19" s="118"/>
    </row>
    <row r="20" spans="1:11" s="119" customFormat="1" ht="39.950000000000003" customHeight="1" thickBot="1">
      <c r="A20" s="297" t="str">
        <f>JAN!A20</f>
        <v>GRAD</v>
      </c>
      <c r="B20" s="172" t="str">
        <f>APR!G20</f>
        <v>B</v>
      </c>
      <c r="C20" s="173" t="str">
        <f>MAY!G20</f>
        <v>A</v>
      </c>
      <c r="D20" s="173" t="str">
        <f>JUN!G20</f>
        <v>B</v>
      </c>
      <c r="E20" s="181" t="str">
        <f>IF(E19&lt;=20%,"A",IF(E19&lt;=23%,"B",IF(E19&lt;25%,"C",IF(E19&gt;=25%,"F",IF))))</f>
        <v>B</v>
      </c>
      <c r="F20" s="267"/>
      <c r="G20" s="277"/>
      <c r="H20" s="272"/>
      <c r="I20" s="278"/>
      <c r="J20" s="118"/>
      <c r="K20" s="118"/>
    </row>
    <row r="21" spans="1:11" s="119" customFormat="1" ht="39.950000000000003" customHeight="1" thickBot="1">
      <c r="A21" s="297">
        <f>JAN!A21</f>
        <v>0</v>
      </c>
      <c r="B21" s="172">
        <f>APR!G21</f>
        <v>30</v>
      </c>
      <c r="C21" s="173">
        <f>MAY!G21</f>
        <v>50</v>
      </c>
      <c r="D21" s="173">
        <f>JUN!G21</f>
        <v>30</v>
      </c>
      <c r="E21" s="285">
        <f>SUM(B21:D21)</f>
        <v>110</v>
      </c>
      <c r="F21" s="267"/>
      <c r="G21" s="277"/>
      <c r="H21" s="272"/>
      <c r="I21" s="278"/>
      <c r="J21" s="118"/>
      <c r="K21" s="118"/>
    </row>
    <row r="22" spans="1:11" s="119" customFormat="1" ht="39.950000000000003" customHeight="1" thickBot="1">
      <c r="A22" s="301" t="s">
        <v>110</v>
      </c>
      <c r="B22" s="349">
        <f>APR!G22</f>
        <v>0.71</v>
      </c>
      <c r="C22" s="350">
        <f>MAY!G22</f>
        <v>0.56200000000000006</v>
      </c>
      <c r="D22" s="350">
        <f>JUN!G22</f>
        <v>0.56499999999999995</v>
      </c>
      <c r="E22" s="348">
        <f>AVERAGE(B22:D22)</f>
        <v>0.61233333333333329</v>
      </c>
      <c r="F22" s="267"/>
      <c r="G22" s="277"/>
      <c r="H22" s="272"/>
      <c r="I22" s="278"/>
      <c r="J22" s="118"/>
      <c r="K22" s="118"/>
    </row>
    <row r="23" spans="1:11" s="119" customFormat="1" ht="39.950000000000003" customHeight="1" thickBot="1">
      <c r="A23" s="297" t="str">
        <f>JAN!A23</f>
        <v>R / F Shop Score %</v>
      </c>
      <c r="B23" s="261">
        <f>APR!G23</f>
        <v>0.6825</v>
      </c>
      <c r="C23" s="262">
        <f>MAY!G23</f>
        <v>0.52400000000000002</v>
      </c>
      <c r="D23" s="262">
        <f>JUN!G23</f>
        <v>0.3125</v>
      </c>
      <c r="E23" s="342">
        <f>AVERAGE(B23:D23)</f>
        <v>0.50633333333333341</v>
      </c>
      <c r="F23" s="134"/>
      <c r="G23" s="134"/>
      <c r="H23" s="118"/>
      <c r="I23" s="118"/>
      <c r="J23" s="118"/>
      <c r="K23" s="118"/>
    </row>
    <row r="24" spans="1:11" s="127" customFormat="1" ht="39.950000000000003" customHeight="1" thickBot="1">
      <c r="A24" s="297" t="str">
        <f>JAN!A24</f>
        <v>Deduction $$</v>
      </c>
      <c r="B24" s="172" t="str">
        <f>APR!G24</f>
        <v>$-25</v>
      </c>
      <c r="C24" s="173" t="str">
        <f>MAY!G24</f>
        <v>$-25</v>
      </c>
      <c r="D24" s="173" t="str">
        <f>JUN!G24</f>
        <v>$-25</v>
      </c>
      <c r="E24" s="258">
        <f>SUM(B24+C24+D24)</f>
        <v>-75</v>
      </c>
      <c r="F24" s="141"/>
      <c r="G24" s="263"/>
      <c r="H24" s="141"/>
      <c r="I24" s="267"/>
      <c r="J24" s="126"/>
      <c r="K24" s="126"/>
    </row>
    <row r="25" spans="1:11" s="119" customFormat="1" ht="39.950000000000003" customHeight="1" thickBot="1">
      <c r="A25" s="297" t="str">
        <f>JAN!A25</f>
        <v>Cash Over Short $$</v>
      </c>
      <c r="B25" s="172">
        <f>APR!G25</f>
        <v>-1.35</v>
      </c>
      <c r="C25" s="173">
        <f>MAY!G25</f>
        <v>0</v>
      </c>
      <c r="D25" s="173">
        <f>JUN!G25</f>
        <v>0</v>
      </c>
      <c r="E25" s="174">
        <f>SUM(B25:D25)</f>
        <v>-1.35</v>
      </c>
      <c r="F25" s="141"/>
      <c r="G25" s="264"/>
      <c r="H25" s="141"/>
      <c r="I25" s="118"/>
      <c r="J25" s="154"/>
      <c r="K25" s="118"/>
    </row>
    <row r="26" spans="1:11" s="127" customFormat="1" ht="39.950000000000003" customHeight="1" thickBot="1">
      <c r="A26" s="297" t="str">
        <f>JAN!A26</f>
        <v>Deduction $$</v>
      </c>
      <c r="B26" s="172">
        <f>APR!G26</f>
        <v>-1.35</v>
      </c>
      <c r="C26" s="173">
        <f>MAY!G26</f>
        <v>0</v>
      </c>
      <c r="D26" s="173">
        <f>JUN!G26</f>
        <v>0</v>
      </c>
      <c r="E26" s="257">
        <f>E25</f>
        <v>-1.35</v>
      </c>
      <c r="F26" s="266"/>
      <c r="G26" s="263"/>
      <c r="H26" s="265"/>
      <c r="I26" s="276"/>
      <c r="J26" s="156"/>
      <c r="K26" s="126"/>
    </row>
    <row r="27" spans="1:11" s="119" customFormat="1" ht="39.950000000000003" customHeight="1" thickBot="1">
      <c r="A27" s="168"/>
      <c r="B27" s="182"/>
      <c r="C27" s="182"/>
      <c r="D27" s="182"/>
      <c r="E27" s="286">
        <f>SUM(APR!G27+MAY!G27+JUN!G27)</f>
        <v>236.58749999999998</v>
      </c>
      <c r="F27" s="267"/>
      <c r="G27" s="138"/>
      <c r="H27" s="282"/>
      <c r="I27" s="282"/>
      <c r="J27" s="159"/>
      <c r="K27" s="118"/>
    </row>
    <row r="28" spans="1:11" s="216" customFormat="1" ht="39.950000000000003" customHeight="1" thickBot="1">
      <c r="A28" s="244"/>
      <c r="B28" s="183"/>
      <c r="C28" s="183"/>
      <c r="D28" s="183"/>
      <c r="E28" s="184"/>
      <c r="F28" s="212"/>
      <c r="G28" s="226"/>
      <c r="H28" s="226"/>
      <c r="I28" s="242"/>
      <c r="J28" s="240"/>
      <c r="K28" s="215"/>
    </row>
    <row r="29" spans="1:11" s="208" customFormat="1" ht="39.950000000000003" customHeight="1" thickBot="1">
      <c r="A29" s="332" t="s">
        <v>71</v>
      </c>
      <c r="B29" s="172"/>
      <c r="C29" s="287">
        <f>SUM(APR!C29+MAY!C29+JUN!C29)</f>
        <v>156.14775</v>
      </c>
      <c r="D29" s="185"/>
      <c r="E29" s="186" t="e">
        <f>IF(#REF!="FAIL","$0.00",IF(#REF!="PASS",E27,))</f>
        <v>#REF!</v>
      </c>
      <c r="F29" s="212"/>
      <c r="G29" s="212"/>
      <c r="H29" s="212"/>
      <c r="I29" s="212"/>
      <c r="J29" s="207"/>
      <c r="K29" s="207"/>
    </row>
    <row r="30" spans="1:11" s="208" customFormat="1" ht="39.950000000000003" customHeight="1" thickBot="1">
      <c r="A30" s="332" t="s">
        <v>72</v>
      </c>
      <c r="B30" s="187"/>
      <c r="C30" s="287">
        <f>SUM(APR!C30+MAY!C30+JUN!C30)</f>
        <v>78.073875000000001</v>
      </c>
      <c r="D30" s="188"/>
      <c r="E30" s="189"/>
      <c r="F30" s="212"/>
      <c r="G30" s="212"/>
      <c r="H30" s="212"/>
      <c r="I30" s="212"/>
      <c r="J30" s="207"/>
      <c r="K30" s="207"/>
    </row>
    <row r="31" spans="1:11">
      <c r="B31" s="245"/>
      <c r="C31" s="245"/>
    </row>
    <row r="32" spans="1:11">
      <c r="B32" s="245"/>
      <c r="C32" s="245"/>
    </row>
    <row r="33" spans="2:3">
      <c r="B33" s="245"/>
      <c r="C33" s="245"/>
    </row>
    <row r="34" spans="2:3">
      <c r="B34" s="245"/>
      <c r="C34" s="245"/>
    </row>
    <row r="35" spans="2:3">
      <c r="B35" s="245"/>
      <c r="C35" s="245"/>
    </row>
    <row r="36" spans="2:3">
      <c r="B36" s="246"/>
      <c r="C36" s="245"/>
    </row>
    <row r="37" spans="2:3">
      <c r="B37" s="245"/>
      <c r="C37" s="245"/>
    </row>
    <row r="38" spans="2:3">
      <c r="B38" s="245"/>
      <c r="C38" s="245"/>
    </row>
    <row r="39" spans="2:3">
      <c r="B39" s="245"/>
      <c r="C39" s="245"/>
    </row>
    <row r="40" spans="2:3">
      <c r="B40" s="245"/>
      <c r="C40" s="245"/>
    </row>
    <row r="41" spans="2:3">
      <c r="B41" s="245"/>
      <c r="C41" s="245"/>
    </row>
    <row r="42" spans="2:3">
      <c r="B42" s="245"/>
      <c r="C42" s="245"/>
    </row>
  </sheetData>
  <sheetProtection algorithmName="SHA-512" hashValue="/W2ZTqMop9O6pTuO33r8fhq3ZO3XgFeq5qJeXtNIKQ7IMPjF08gvf6fAccsU6joOt76WzCd/lrRGRN1GL4V49g==" saltValue="tk3ux8Rw1HNB33ywl7aH3g==" spinCount="100000" sheet="1" objects="1" scenarios="1"/>
  <conditionalFormatting sqref="B28:E28">
    <cfRule type="cellIs" dxfId="414" priority="96" stopIfTrue="1" operator="lessThan">
      <formula>0</formula>
    </cfRule>
  </conditionalFormatting>
  <conditionalFormatting sqref="F24">
    <cfRule type="cellIs" dxfId="413" priority="36" stopIfTrue="1" operator="lessThan">
      <formula>0</formula>
    </cfRule>
  </conditionalFormatting>
  <conditionalFormatting sqref="G24:G26">
    <cfRule type="cellIs" dxfId="412" priority="35" stopIfTrue="1" operator="lessThan">
      <formula>0</formula>
    </cfRule>
  </conditionalFormatting>
  <conditionalFormatting sqref="E19">
    <cfRule type="cellIs" dxfId="411" priority="16" stopIfTrue="1" operator="greaterThanOrEqual">
      <formula>0.27</formula>
    </cfRule>
    <cfRule type="cellIs" dxfId="410" priority="17" stopIfTrue="1" operator="between">
      <formula>0.23</formula>
      <formula>0.25</formula>
    </cfRule>
    <cfRule type="cellIs" dxfId="409" priority="18" stopIfTrue="1" operator="lessThan">
      <formula>0.2</formula>
    </cfRule>
    <cfRule type="cellIs" dxfId="408" priority="26" stopIfTrue="1" operator="between">
      <formula>0.2</formula>
      <formula>0.2299</formula>
    </cfRule>
  </conditionalFormatting>
  <conditionalFormatting sqref="E15">
    <cfRule type="cellIs" dxfId="407" priority="25" stopIfTrue="1" operator="between">
      <formula>0.3</formula>
      <formula>0.32</formula>
    </cfRule>
  </conditionalFormatting>
  <conditionalFormatting sqref="E10">
    <cfRule type="cellIs" dxfId="406" priority="22" stopIfTrue="1" operator="greaterThan">
      <formula>0.1</formula>
    </cfRule>
    <cfRule type="cellIs" dxfId="405" priority="23" stopIfTrue="1" operator="greaterThan">
      <formula>0.07</formula>
    </cfRule>
    <cfRule type="cellIs" dxfId="404" priority="24" stopIfTrue="1" operator="greaterThan">
      <formula>0.02</formula>
    </cfRule>
  </conditionalFormatting>
  <conditionalFormatting sqref="E15">
    <cfRule type="cellIs" dxfId="403" priority="19" stopIfTrue="1" operator="greaterThanOrEqual">
      <formula>0.32</formula>
    </cfRule>
    <cfRule type="cellIs" dxfId="402" priority="20" stopIfTrue="1" operator="between">
      <formula>0.27</formula>
      <formula>0.3</formula>
    </cfRule>
    <cfRule type="cellIs" dxfId="401" priority="21" stopIfTrue="1" operator="lessThanOrEqual">
      <formula>0.27</formula>
    </cfRule>
  </conditionalFormatting>
  <conditionalFormatting sqref="E24">
    <cfRule type="cellIs" dxfId="400" priority="15" stopIfTrue="1" operator="greaterThan">
      <formula>10</formula>
    </cfRule>
  </conditionalFormatting>
  <conditionalFormatting sqref="B27:D27 E26">
    <cfRule type="cellIs" dxfId="399" priority="14" stopIfTrue="1" operator="lessThan">
      <formula>0</formula>
    </cfRule>
  </conditionalFormatting>
  <conditionalFormatting sqref="E10">
    <cfRule type="cellIs" dxfId="398" priority="13" stopIfTrue="1" operator="lessThanOrEqual">
      <formula>0.02</formula>
    </cfRule>
  </conditionalFormatting>
  <conditionalFormatting sqref="E11:E12 E16 E20">
    <cfRule type="cellIs" dxfId="397" priority="9" stopIfTrue="1" operator="equal">
      <formula>"F"</formula>
    </cfRule>
    <cfRule type="cellIs" dxfId="396" priority="10" stopIfTrue="1" operator="equal">
      <formula>"C"</formula>
    </cfRule>
    <cfRule type="cellIs" dxfId="395" priority="11" stopIfTrue="1" operator="equal">
      <formula>"B"</formula>
    </cfRule>
    <cfRule type="cellIs" dxfId="394" priority="12" stopIfTrue="1" operator="equal">
      <formula>"A"</formula>
    </cfRule>
  </conditionalFormatting>
  <conditionalFormatting sqref="E17">
    <cfRule type="cellIs" dxfId="393" priority="5" stopIfTrue="1" operator="equal">
      <formula>"F"</formula>
    </cfRule>
    <cfRule type="cellIs" dxfId="392" priority="6" stopIfTrue="1" operator="equal">
      <formula>"C"</formula>
    </cfRule>
    <cfRule type="cellIs" dxfId="391" priority="7" stopIfTrue="1" operator="equal">
      <formula>"B"</formula>
    </cfRule>
    <cfRule type="cellIs" dxfId="390" priority="8" stopIfTrue="1" operator="equal">
      <formula>"A"</formula>
    </cfRule>
  </conditionalFormatting>
  <conditionalFormatting sqref="E21:E22">
    <cfRule type="cellIs" dxfId="389" priority="1" stopIfTrue="1" operator="equal">
      <formula>"F"</formula>
    </cfRule>
    <cfRule type="cellIs" dxfId="388" priority="2" stopIfTrue="1" operator="equal">
      <formula>"C"</formula>
    </cfRule>
    <cfRule type="cellIs" dxfId="387" priority="3" stopIfTrue="1" operator="equal">
      <formula>"B"</formula>
    </cfRule>
    <cfRule type="cellIs" dxfId="386" priority="4" stopIfTrue="1" operator="equal">
      <formula>"A"</formula>
    </cfRule>
  </conditionalFormatting>
  <pageMargins left="0.7" right="0.7" top="0.75" bottom="0.75" header="0.3" footer="0.3"/>
  <pageSetup scale="63" orientation="portrait" horizontalDpi="0" verticalDpi="0" r:id="rId1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2" zoomScaleNormal="100" workbookViewId="0">
      <selection activeCell="B29" sqref="B29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90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>
        <v>11998.51</v>
      </c>
      <c r="C5" s="115"/>
      <c r="D5" s="115"/>
      <c r="E5" s="114"/>
      <c r="F5" s="114"/>
      <c r="G5" s="116">
        <f>SUM(B5:F5)</f>
        <v>11998.51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>
        <v>44019</v>
      </c>
      <c r="C6" s="347">
        <f>B6+7</f>
        <v>44026</v>
      </c>
      <c r="D6" s="347">
        <f>C6+7</f>
        <v>44033</v>
      </c>
      <c r="E6" s="347">
        <f>D6+7</f>
        <v>44040</v>
      </c>
      <c r="F6" s="347">
        <f>E6+7</f>
        <v>44047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>
        <v>13668</v>
      </c>
      <c r="C7" s="115"/>
      <c r="D7" s="115"/>
      <c r="E7" s="114"/>
      <c r="F7" s="114"/>
      <c r="G7" s="116">
        <f>SUM(B7:F7)</f>
        <v>13668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>
        <v>200</v>
      </c>
      <c r="C8" s="121"/>
      <c r="D8" s="115"/>
      <c r="E8" s="115"/>
      <c r="F8" s="120"/>
      <c r="G8" s="116">
        <f>SUM(B8:F8)</f>
        <v>200</v>
      </c>
      <c r="H8" s="255">
        <f>SUM(G8*0.03)</f>
        <v>6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13468</v>
      </c>
      <c r="C9" s="296">
        <f>SUM(C7-C8)</f>
        <v>0</v>
      </c>
      <c r="D9" s="296">
        <f t="shared" ref="D9:F9" si="0">SUM(D7-D8)</f>
        <v>0</v>
      </c>
      <c r="E9" s="296">
        <f t="shared" si="0"/>
        <v>0</v>
      </c>
      <c r="F9" s="296">
        <f t="shared" si="0"/>
        <v>0</v>
      </c>
      <c r="G9" s="307">
        <f>SUM(G7-G8)</f>
        <v>13468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>
        <f>(B7-B5)/B5</f>
        <v>0.1391414433958883</v>
      </c>
      <c r="C10" s="128" t="e">
        <f t="shared" ref="C10:F10" si="1">(C7-C5)/C5</f>
        <v>#DIV/0!</v>
      </c>
      <c r="D10" s="128" t="e">
        <f t="shared" si="1"/>
        <v>#DIV/0!</v>
      </c>
      <c r="E10" s="128" t="e">
        <f t="shared" si="1"/>
        <v>#DIV/0!</v>
      </c>
      <c r="F10" s="128" t="e">
        <f t="shared" si="1"/>
        <v>#DIV/0!</v>
      </c>
      <c r="G10" s="129">
        <f>(G7-G5)/G5</f>
        <v>0.1391414433958883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str">
        <f>IF(B10&gt;=10%,"A",IF(B10&gt;=7%,"B",IF(B10&gt;2%,"C",IF(B10&lt;2%,"F",))))</f>
        <v>A</v>
      </c>
      <c r="C11" s="308" t="e">
        <f t="shared" ref="C11:F11" si="2">IF(C10&gt;=10%,"A",IF(C10&gt;=7%,"B",IF(C10&gt;2%,"C",IF(C10&lt;2%,"F",))))</f>
        <v>#DIV/0!</v>
      </c>
      <c r="D11" s="308" t="e">
        <f t="shared" si="2"/>
        <v>#DIV/0!</v>
      </c>
      <c r="E11" s="308" t="e">
        <f t="shared" si="2"/>
        <v>#DIV/0!</v>
      </c>
      <c r="F11" s="308" t="e">
        <f t="shared" si="2"/>
        <v>#DIV/0!</v>
      </c>
      <c r="G11" s="130" t="str">
        <f>IF(G10&gt;=10%,"A",IF(G10&gt;=7%,"B",IF(G10&gt;2%,"C",IF(G10&lt;2%,"F",))))</f>
        <v>A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>
        <f>LOOKUP(G11,J9:K12)</f>
        <v>50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>
        <v>3832.25</v>
      </c>
      <c r="C13" s="115"/>
      <c r="D13" s="115"/>
      <c r="E13" s="115"/>
      <c r="F13" s="120"/>
      <c r="G13" s="116">
        <f>SUM(B13:F13)+G14</f>
        <v>3832.25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/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>
        <f>SUM(B13/B7)</f>
        <v>0.28038118232367576</v>
      </c>
      <c r="C15" s="129" t="e">
        <f t="shared" ref="C15:F15" si="3">SUM(C13/C7)</f>
        <v>#DIV/0!</v>
      </c>
      <c r="D15" s="129" t="e">
        <f t="shared" si="3"/>
        <v>#DIV/0!</v>
      </c>
      <c r="E15" s="129" t="e">
        <f t="shared" si="3"/>
        <v>#DIV/0!</v>
      </c>
      <c r="F15" s="129" t="e">
        <f t="shared" si="3"/>
        <v>#DIV/0!</v>
      </c>
      <c r="G15" s="129">
        <f>SUM(G13/G7)</f>
        <v>0.28038118232367576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str">
        <f>IF(B15&lt;=27%,"A",IF(B15&lt;=30%,"B",IF(B15&lt;32%,"C",IF(B15&gt;=32%,"F",))))</f>
        <v>B</v>
      </c>
      <c r="C16" s="308" t="e">
        <f t="shared" ref="C16:F16" si="4">IF(C15&lt;=27%,"A",IF(C15&lt;=30%,"B",IF(C15&lt;32%,"C",IF(C15&gt;=32%,"F",))))</f>
        <v>#DIV/0!</v>
      </c>
      <c r="D16" s="308" t="e">
        <f t="shared" si="4"/>
        <v>#DIV/0!</v>
      </c>
      <c r="E16" s="308" t="e">
        <f t="shared" si="4"/>
        <v>#DIV/0!</v>
      </c>
      <c r="F16" s="308" t="e">
        <f t="shared" si="4"/>
        <v>#DIV/0!</v>
      </c>
      <c r="G16" s="130" t="str">
        <f>IF(G15&lt;=27%,"A",IF(G15&lt;=30%,"B",IF(G15&lt;=32%,"C",IF(G15&gt;32%,"F",))))</f>
        <v>B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>
        <f>LOOKUP(G16,J9:K12)</f>
        <v>30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>
        <v>3060.2</v>
      </c>
      <c r="C18" s="115"/>
      <c r="D18" s="115"/>
      <c r="E18" s="115"/>
      <c r="F18" s="115"/>
      <c r="G18" s="116">
        <f>SUM(B18:F18)</f>
        <v>3060.2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>
        <f>SUM(B18/B7)</f>
        <v>0.2238952297336845</v>
      </c>
      <c r="C19" s="129" t="e">
        <f t="shared" ref="C19:F19" si="5">SUM(C18/C7)</f>
        <v>#DIV/0!</v>
      </c>
      <c r="D19" s="129" t="e">
        <f t="shared" si="5"/>
        <v>#DIV/0!</v>
      </c>
      <c r="E19" s="129" t="e">
        <f t="shared" si="5"/>
        <v>#DIV/0!</v>
      </c>
      <c r="F19" s="129" t="e">
        <f t="shared" si="5"/>
        <v>#DIV/0!</v>
      </c>
      <c r="G19" s="129">
        <f>SUM(G18/G7)</f>
        <v>0.2238952297336845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str">
        <f>IF(B19&lt;=20%,"A",IF(B19&lt;=23%,"B",IF(B19&lt;25%,"C",IF(B19&gt;=25%,"F",))))</f>
        <v>B</v>
      </c>
      <c r="C20" s="308" t="e">
        <f>IF(C19&lt;=20%,"A",IF(C19&lt;=23%,"B",IF(C19&lt;25%,"C",IF(C19&gt;=25%,"F",IF))))</f>
        <v>#DIV/0!</v>
      </c>
      <c r="D20" s="308" t="e">
        <f>IF(D19&lt;=20%,"A",IF(D19&lt;=23%,"B",IF(D19&lt;25%,"C",IF(D19&gt;=25%,"F",IF))))</f>
        <v>#DIV/0!</v>
      </c>
      <c r="E20" s="308" t="e">
        <f>IF(E19&lt;=20%,"A",IF(E19&lt;=23%,"B",IF(E19&lt;25%,"C",IF(E19&gt;=25%,"F",IF))))</f>
        <v>#DIV/0!</v>
      </c>
      <c r="F20" s="308" t="e">
        <f>IF(F19&lt;=20%,"A",IF(F19&lt;=23%,"B",IF(F19&lt;25%,"C",IF(F19&gt;=25%,"F",IF))))</f>
        <v>#DIV/0!</v>
      </c>
      <c r="G20" s="130" t="str">
        <f>IF(G19&lt;=20%,"A",IF(G19&lt;=23%,"B",IF(G19&lt;=25%,"C",IF(G19&gt;25%,"F",IF))))</f>
        <v>B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>
        <f>LOOKUP(G20,J9:K12)</f>
        <v>30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>
        <v>0.56000000000000005</v>
      </c>
      <c r="C22" s="295"/>
      <c r="D22" s="295"/>
      <c r="E22" s="295"/>
      <c r="F22" s="327"/>
      <c r="G22" s="312">
        <f>AVERAGE(B22:F22)</f>
        <v>0.56000000000000005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>
        <v>0.67</v>
      </c>
      <c r="C23" s="295"/>
      <c r="D23" s="295"/>
      <c r="E23" s="295"/>
      <c r="F23" s="295"/>
      <c r="G23" s="352">
        <f>AVERAGE(B23:F23)</f>
        <v>0.67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0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str">
        <f t="shared" si="6"/>
        <v>0</v>
      </c>
      <c r="H24" s="149">
        <f>SUM(+G12+G17+G21)</f>
        <v>110</v>
      </c>
      <c r="I24" s="150" t="s">
        <v>2</v>
      </c>
      <c r="J24" s="151">
        <f>SUM(H26*1.5)</f>
        <v>174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>
        <v>0</v>
      </c>
      <c r="C25" s="115"/>
      <c r="D25" s="115"/>
      <c r="E25" s="115"/>
      <c r="F25" s="115"/>
      <c r="G25" s="307">
        <f>SUM(B25:F25)</f>
        <v>0</v>
      </c>
      <c r="H25" s="149">
        <f>SUM(G24+G26)</f>
        <v>0</v>
      </c>
      <c r="I25" s="152" t="s">
        <v>3</v>
      </c>
      <c r="J25" s="153">
        <f>SUM(H26*1.25)</f>
        <v>145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>
        <f>SUM(+H8+H24+H25)</f>
        <v>116</v>
      </c>
      <c r="I26" s="150" t="s">
        <v>4</v>
      </c>
      <c r="J26" s="249">
        <f>SUM(H26*1)</f>
        <v>116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>
        <f>LOOKUP(H9,I24:J26)</f>
        <v>116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>
        <f>SUM(G29*0.66)</f>
        <v>76.56</v>
      </c>
      <c r="D29" s="162"/>
      <c r="E29" s="162"/>
      <c r="F29" s="162"/>
      <c r="G29" s="163">
        <f>IF(E3="FAIL","$0.00",IF(G20="F","$0.00",IF(G16="F","$0.00",IF(E3="PASS",G27,))))</f>
        <v>116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>
        <f>SUM(G29*0.33)</f>
        <v>38.28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veDJyDfCynXoP9/aR0nevO0A5Ot50JAwiDuqhcELf5VE4l8YB0vvuJ+kN0gHbACGQGVyFkpYhDmedIintsR9nw==" saltValue="0N4m846IhwPOGDzulioNGQ==" spinCount="100000" sheet="1" objects="1" scenarios="1"/>
  <conditionalFormatting sqref="H24">
    <cfRule type="cellIs" dxfId="385" priority="65" stopIfTrue="1" operator="lessThan">
      <formula>0</formula>
    </cfRule>
  </conditionalFormatting>
  <conditionalFormatting sqref="I24:I26">
    <cfRule type="cellIs" dxfId="384" priority="56" stopIfTrue="1" operator="lessThan">
      <formula>0</formula>
    </cfRule>
  </conditionalFormatting>
  <conditionalFormatting sqref="E3">
    <cfRule type="containsText" dxfId="383" priority="54" stopIfTrue="1" operator="containsText" text="PASS">
      <formula>NOT(ISERROR(SEARCH("PASS",E3)))</formula>
    </cfRule>
    <cfRule type="containsText" dxfId="382" priority="55" stopIfTrue="1" operator="containsText" text="FAIL">
      <formula>NOT(ISERROR(SEARCH("FAIL",E3)))</formula>
    </cfRule>
  </conditionalFormatting>
  <conditionalFormatting sqref="B19:G19">
    <cfRule type="cellIs" dxfId="381" priority="43" stopIfTrue="1" operator="greaterThanOrEqual">
      <formula>0.27</formula>
    </cfRule>
    <cfRule type="cellIs" dxfId="380" priority="44" stopIfTrue="1" operator="between">
      <formula>0.23</formula>
      <formula>0.25</formula>
    </cfRule>
    <cfRule type="cellIs" dxfId="379" priority="45" stopIfTrue="1" operator="lessThan">
      <formula>0.2</formula>
    </cfRule>
    <cfRule type="cellIs" dxfId="378" priority="53" stopIfTrue="1" operator="between">
      <formula>0.2</formula>
      <formula>0.2299</formula>
    </cfRule>
  </conditionalFormatting>
  <conditionalFormatting sqref="B15:G15">
    <cfRule type="cellIs" dxfId="377" priority="52" stopIfTrue="1" operator="between">
      <formula>0.3</formula>
      <formula>0.32</formula>
    </cfRule>
  </conditionalFormatting>
  <conditionalFormatting sqref="B10:G10">
    <cfRule type="cellIs" dxfId="376" priority="49" stopIfTrue="1" operator="greaterThan">
      <formula>0.1</formula>
    </cfRule>
    <cfRule type="cellIs" dxfId="375" priority="50" stopIfTrue="1" operator="greaterThan">
      <formula>0.07</formula>
    </cfRule>
    <cfRule type="cellIs" dxfId="374" priority="51" stopIfTrue="1" operator="greaterThan">
      <formula>0.02</formula>
    </cfRule>
  </conditionalFormatting>
  <conditionalFormatting sqref="B15:G15">
    <cfRule type="cellIs" dxfId="373" priority="46" stopIfTrue="1" operator="greaterThanOrEqual">
      <formula>0.32</formula>
    </cfRule>
    <cfRule type="cellIs" dxfId="372" priority="47" stopIfTrue="1" operator="between">
      <formula>0.27</formula>
      <formula>0.3</formula>
    </cfRule>
    <cfRule type="cellIs" dxfId="371" priority="48" stopIfTrue="1" operator="lessThanOrEqual">
      <formula>0.27</formula>
    </cfRule>
  </conditionalFormatting>
  <conditionalFormatting sqref="B26:G26 B28:G28 B27:F27">
    <cfRule type="cellIs" dxfId="370" priority="41" stopIfTrue="1" operator="lessThan">
      <formula>0</formula>
    </cfRule>
  </conditionalFormatting>
  <conditionalFormatting sqref="B10:G10">
    <cfRule type="cellIs" dxfId="369" priority="40" stopIfTrue="1" operator="lessThanOrEqual">
      <formula>0.02</formula>
    </cfRule>
  </conditionalFormatting>
  <conditionalFormatting sqref="B11:G12">
    <cfRule type="cellIs" dxfId="368" priority="36" stopIfTrue="1" operator="equal">
      <formula>"F"</formula>
    </cfRule>
    <cfRule type="cellIs" dxfId="367" priority="37" stopIfTrue="1" operator="equal">
      <formula>"C"</formula>
    </cfRule>
    <cfRule type="cellIs" dxfId="366" priority="38" stopIfTrue="1" operator="equal">
      <formula>"B"</formula>
    </cfRule>
    <cfRule type="cellIs" dxfId="365" priority="39" stopIfTrue="1" operator="equal">
      <formula>"A"</formula>
    </cfRule>
  </conditionalFormatting>
  <conditionalFormatting sqref="B16:G16 F17">
    <cfRule type="cellIs" dxfId="364" priority="32" stopIfTrue="1" operator="equal">
      <formula>"F"</formula>
    </cfRule>
    <cfRule type="cellIs" dxfId="363" priority="33" stopIfTrue="1" operator="equal">
      <formula>"C"</formula>
    </cfRule>
    <cfRule type="cellIs" dxfId="362" priority="34" stopIfTrue="1" operator="equal">
      <formula>"B"</formula>
    </cfRule>
    <cfRule type="cellIs" dxfId="361" priority="35" stopIfTrue="1" operator="equal">
      <formula>"A"</formula>
    </cfRule>
  </conditionalFormatting>
  <conditionalFormatting sqref="B20:G20 B21:F21">
    <cfRule type="cellIs" dxfId="360" priority="28" stopIfTrue="1" operator="equal">
      <formula>"F"</formula>
    </cfRule>
    <cfRule type="cellIs" dxfId="359" priority="29" stopIfTrue="1" operator="equal">
      <formula>"C"</formula>
    </cfRule>
    <cfRule type="cellIs" dxfId="358" priority="30" stopIfTrue="1" operator="equal">
      <formula>"B"</formula>
    </cfRule>
    <cfRule type="cellIs" dxfId="357" priority="31" stopIfTrue="1" operator="equal">
      <formula>"A"</formula>
    </cfRule>
  </conditionalFormatting>
  <conditionalFormatting sqref="G17">
    <cfRule type="cellIs" dxfId="356" priority="24" stopIfTrue="1" operator="equal">
      <formula>"F"</formula>
    </cfRule>
    <cfRule type="cellIs" dxfId="355" priority="25" stopIfTrue="1" operator="equal">
      <formula>"C"</formula>
    </cfRule>
    <cfRule type="cellIs" dxfId="354" priority="26" stopIfTrue="1" operator="equal">
      <formula>"B"</formula>
    </cfRule>
    <cfRule type="cellIs" dxfId="353" priority="27" stopIfTrue="1" operator="equal">
      <formula>"A"</formula>
    </cfRule>
  </conditionalFormatting>
  <conditionalFormatting sqref="G21">
    <cfRule type="cellIs" dxfId="352" priority="20" stopIfTrue="1" operator="equal">
      <formula>"F"</formula>
    </cfRule>
    <cfRule type="cellIs" dxfId="351" priority="21" stopIfTrue="1" operator="equal">
      <formula>"C"</formula>
    </cfRule>
    <cfRule type="cellIs" dxfId="350" priority="22" stopIfTrue="1" operator="equal">
      <formula>"B"</formula>
    </cfRule>
    <cfRule type="cellIs" dxfId="349" priority="23" stopIfTrue="1" operator="equal">
      <formula>"A"</formula>
    </cfRule>
  </conditionalFormatting>
  <conditionalFormatting sqref="B24:G24">
    <cfRule type="cellIs" dxfId="348" priority="15" stopIfTrue="1" operator="greaterThan">
      <formula>10</formula>
    </cfRule>
  </conditionalFormatting>
  <conditionalFormatting sqref="B22:F22">
    <cfRule type="cellIs" dxfId="347" priority="11" stopIfTrue="1" operator="equal">
      <formula>"F"</formula>
    </cfRule>
    <cfRule type="cellIs" dxfId="346" priority="12" stopIfTrue="1" operator="equal">
      <formula>"C"</formula>
    </cfRule>
    <cfRule type="cellIs" dxfId="345" priority="13" stopIfTrue="1" operator="equal">
      <formula>"B"</formula>
    </cfRule>
    <cfRule type="cellIs" dxfId="344" priority="14" stopIfTrue="1" operator="equal">
      <formula>"A"</formula>
    </cfRule>
  </conditionalFormatting>
  <conditionalFormatting sqref="G22">
    <cfRule type="cellIs" dxfId="343" priority="7" stopIfTrue="1" operator="equal">
      <formula>"F"</formula>
    </cfRule>
    <cfRule type="cellIs" dxfId="342" priority="8" stopIfTrue="1" operator="equal">
      <formula>"C"</formula>
    </cfRule>
    <cfRule type="cellIs" dxfId="341" priority="9" stopIfTrue="1" operator="equal">
      <formula>"B"</formula>
    </cfRule>
    <cfRule type="cellIs" dxfId="340" priority="10" stopIfTrue="1" operator="equal">
      <formula>"A"</formula>
    </cfRule>
  </conditionalFormatting>
  <conditionalFormatting sqref="B23:F23">
    <cfRule type="cellIs" dxfId="339" priority="5" operator="lessThanOrEqual">
      <formula>$B$22</formula>
    </cfRule>
    <cfRule type="cellIs" dxfId="338" priority="6" operator="greaterThanOrEqual">
      <formula>$B$22</formula>
    </cfRule>
  </conditionalFormatting>
  <conditionalFormatting sqref="G23">
    <cfRule type="cellIs" dxfId="337" priority="1" operator="lessThanOrEqual">
      <formula>$B$22</formula>
    </cfRule>
    <cfRule type="cellIs" dxfId="336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B6" sqref="B6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89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/>
      <c r="C5" s="115"/>
      <c r="D5" s="115"/>
      <c r="E5" s="114"/>
      <c r="F5" s="114"/>
      <c r="G5" s="116">
        <f>SUM(B5:F5)</f>
        <v>0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/>
      <c r="C6" s="347">
        <f>B6+7</f>
        <v>7</v>
      </c>
      <c r="D6" s="347">
        <f>C6+7</f>
        <v>14</v>
      </c>
      <c r="E6" s="347">
        <f>D6+7</f>
        <v>21</v>
      </c>
      <c r="F6" s="347">
        <f>E6+7</f>
        <v>28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/>
      <c r="C7" s="115"/>
      <c r="D7" s="115"/>
      <c r="E7" s="114"/>
      <c r="F7" s="114"/>
      <c r="G7" s="116">
        <f>SUM(B7:F7)</f>
        <v>0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/>
      <c r="C8" s="121"/>
      <c r="D8" s="115"/>
      <c r="E8" s="115"/>
      <c r="F8" s="120"/>
      <c r="G8" s="116">
        <f>SUM(B8:F8)</f>
        <v>0</v>
      </c>
      <c r="H8" s="255">
        <f>SUM(G8*0.03)</f>
        <v>0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0</v>
      </c>
      <c r="C9" s="296">
        <f>SUM(C7-C8)</f>
        <v>0</v>
      </c>
      <c r="D9" s="296">
        <f t="shared" ref="D9:F9" si="0">SUM(D7-D8)</f>
        <v>0</v>
      </c>
      <c r="E9" s="296">
        <f t="shared" si="0"/>
        <v>0</v>
      </c>
      <c r="F9" s="296">
        <f t="shared" si="0"/>
        <v>0</v>
      </c>
      <c r="G9" s="307">
        <f>SUM(G7-G8)</f>
        <v>0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 t="e">
        <f>(B7-B5)/B5</f>
        <v>#DIV/0!</v>
      </c>
      <c r="C10" s="128" t="e">
        <f t="shared" ref="C10:F10" si="1">(C7-C5)/C5</f>
        <v>#DIV/0!</v>
      </c>
      <c r="D10" s="128" t="e">
        <f t="shared" si="1"/>
        <v>#DIV/0!</v>
      </c>
      <c r="E10" s="128" t="e">
        <f t="shared" si="1"/>
        <v>#DIV/0!</v>
      </c>
      <c r="F10" s="128" t="e">
        <f t="shared" si="1"/>
        <v>#DIV/0!</v>
      </c>
      <c r="G10" s="129" t="e">
        <f>(G7-G5)/G5</f>
        <v>#DIV/0!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e">
        <f>IF(B10&gt;=10%,"A",IF(B10&gt;=7%,"B",IF(B10&gt;2%,"C",IF(B10&lt;2%,"F",))))</f>
        <v>#DIV/0!</v>
      </c>
      <c r="C11" s="308" t="e">
        <f t="shared" ref="C11:F11" si="2">IF(C10&gt;=10%,"A",IF(C10&gt;=7%,"B",IF(C10&gt;2%,"C",IF(C10&lt;2%,"F",))))</f>
        <v>#DIV/0!</v>
      </c>
      <c r="D11" s="308" t="e">
        <f t="shared" si="2"/>
        <v>#DIV/0!</v>
      </c>
      <c r="E11" s="308" t="e">
        <f t="shared" si="2"/>
        <v>#DIV/0!</v>
      </c>
      <c r="F11" s="308" t="e">
        <f t="shared" si="2"/>
        <v>#DIV/0!</v>
      </c>
      <c r="G11" s="130" t="e">
        <f>IF(G10&gt;=10%,"A",IF(G10&gt;=7%,"B",IF(G10&gt;2%,"C",IF(G10&lt;2%,"F",))))</f>
        <v>#DIV/0!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 t="e">
        <f>LOOKUP(G11,J9:K12)</f>
        <v>#DIV/0!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/>
      <c r="C13" s="115"/>
      <c r="D13" s="115"/>
      <c r="E13" s="115"/>
      <c r="F13" s="120"/>
      <c r="G13" s="116">
        <f>SUM(B13:F13)+G14</f>
        <v>0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/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 t="e">
        <f>SUM(B13/B7)</f>
        <v>#DIV/0!</v>
      </c>
      <c r="C15" s="129" t="e">
        <f t="shared" ref="C15:F15" si="3">SUM(C13/C7)</f>
        <v>#DIV/0!</v>
      </c>
      <c r="D15" s="129" t="e">
        <f t="shared" si="3"/>
        <v>#DIV/0!</v>
      </c>
      <c r="E15" s="129" t="e">
        <f t="shared" si="3"/>
        <v>#DIV/0!</v>
      </c>
      <c r="F15" s="129" t="e">
        <f t="shared" si="3"/>
        <v>#DIV/0!</v>
      </c>
      <c r="G15" s="129" t="e">
        <f>SUM(G13/G7)</f>
        <v>#DIV/0!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e">
        <f>IF(B15&lt;=27%,"A",IF(B15&lt;=30%,"B",IF(B15&lt;32%,"C",IF(B15&gt;=32%,"F",))))</f>
        <v>#DIV/0!</v>
      </c>
      <c r="C16" s="308" t="e">
        <f t="shared" ref="C16:F16" si="4">IF(C15&lt;=27%,"A",IF(C15&lt;=30%,"B",IF(C15&lt;32%,"C",IF(C15&gt;=32%,"F",))))</f>
        <v>#DIV/0!</v>
      </c>
      <c r="D16" s="308" t="e">
        <f t="shared" si="4"/>
        <v>#DIV/0!</v>
      </c>
      <c r="E16" s="308" t="e">
        <f t="shared" si="4"/>
        <v>#DIV/0!</v>
      </c>
      <c r="F16" s="308" t="e">
        <f t="shared" si="4"/>
        <v>#DIV/0!</v>
      </c>
      <c r="G16" s="130" t="e">
        <f>IF(G15&lt;=27%,"A",IF(G15&lt;=30%,"B",IF(G15&lt;=32%,"C",IF(G15&gt;32%,"F",))))</f>
        <v>#DIV/0!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 t="e">
        <f>LOOKUP(G16,J9:K12)</f>
        <v>#DIV/0!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/>
      <c r="C18" s="115"/>
      <c r="D18" s="115"/>
      <c r="E18" s="115"/>
      <c r="F18" s="115"/>
      <c r="G18" s="116">
        <f>SUM(B18:F18)</f>
        <v>0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 t="e">
        <f>SUM(B18/B7)</f>
        <v>#DIV/0!</v>
      </c>
      <c r="C19" s="129" t="e">
        <f t="shared" ref="C19:F19" si="5">SUM(C18/C7)</f>
        <v>#DIV/0!</v>
      </c>
      <c r="D19" s="129" t="e">
        <f t="shared" si="5"/>
        <v>#DIV/0!</v>
      </c>
      <c r="E19" s="129" t="e">
        <f t="shared" si="5"/>
        <v>#DIV/0!</v>
      </c>
      <c r="F19" s="129" t="e">
        <f t="shared" si="5"/>
        <v>#DIV/0!</v>
      </c>
      <c r="G19" s="129" t="e">
        <f>SUM(G18/G7)</f>
        <v>#DIV/0!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e">
        <f>IF(B19&lt;=20%,"A",IF(B19&lt;=23%,"B",IF(B19&lt;25%,"C",IF(B19&gt;=25%,"F",))))</f>
        <v>#DIV/0!</v>
      </c>
      <c r="C20" s="308" t="e">
        <f>IF(C19&lt;=20%,"A",IF(C19&lt;=23%,"B",IF(C19&lt;25%,"C",IF(C19&gt;=25%,"F",IF))))</f>
        <v>#DIV/0!</v>
      </c>
      <c r="D20" s="308" t="e">
        <f>IF(D19&lt;=20%,"A",IF(D19&lt;=23%,"B",IF(D19&lt;25%,"C",IF(D19&gt;=25%,"F",IF))))</f>
        <v>#DIV/0!</v>
      </c>
      <c r="E20" s="308" t="e">
        <f>IF(E19&lt;=20%,"A",IF(E19&lt;=23%,"B",IF(E19&lt;25%,"C",IF(E19&gt;=25%,"F",IF))))</f>
        <v>#DIV/0!</v>
      </c>
      <c r="F20" s="308" t="e">
        <f>IF(F19&lt;=20%,"A",IF(F19&lt;=23%,"B",IF(F19&lt;25%,"C",IF(F19&gt;=25%,"F",IF))))</f>
        <v>#DIV/0!</v>
      </c>
      <c r="G20" s="130" t="e">
        <f>IF(G19&lt;=20%,"A",IF(G19&lt;=23%,"B",IF(G19&lt;=25%,"C",IF(G19&gt;25%,"F",IF))))</f>
        <v>#DIV/0!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 t="e">
        <f>LOOKUP(G20,J9:K12)</f>
        <v>#DIV/0!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/>
      <c r="C22" s="295"/>
      <c r="D22" s="295"/>
      <c r="E22" s="295"/>
      <c r="F22" s="327"/>
      <c r="G22" s="312" t="e">
        <f>AVERAGE(B22:F22)</f>
        <v>#DIV/0!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/>
      <c r="C23" s="295"/>
      <c r="D23" s="295"/>
      <c r="E23" s="295"/>
      <c r="F23" s="295"/>
      <c r="G23" s="352" t="e">
        <f>AVERAGE(B23:F23)</f>
        <v>#DIV/0!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0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e">
        <f t="shared" si="6"/>
        <v>#DIV/0!</v>
      </c>
      <c r="H24" s="149" t="e">
        <f>SUM(+G12+G17+G21)</f>
        <v>#DIV/0!</v>
      </c>
      <c r="I24" s="150" t="s">
        <v>2</v>
      </c>
      <c r="J24" s="151" t="e">
        <f>SUM(H26*1.5)</f>
        <v>#DIV/0!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/>
      <c r="C25" s="115"/>
      <c r="D25" s="115"/>
      <c r="E25" s="115"/>
      <c r="F25" s="115"/>
      <c r="G25" s="307">
        <f>SUM(B25:F25)</f>
        <v>0</v>
      </c>
      <c r="H25" s="149" t="e">
        <f>SUM(G24+G26)</f>
        <v>#DIV/0!</v>
      </c>
      <c r="I25" s="152" t="s">
        <v>3</v>
      </c>
      <c r="J25" s="153" t="e">
        <f>SUM(H26*1.25)</f>
        <v>#DIV/0!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 t="e">
        <f>SUM(+H8+H24+H25)</f>
        <v>#DIV/0!</v>
      </c>
      <c r="I26" s="150" t="s">
        <v>4</v>
      </c>
      <c r="J26" s="249" t="e">
        <f>SUM(H26*1)</f>
        <v>#DIV/0!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 t="e">
        <f>LOOKUP(H9,I24:J26)</f>
        <v>#DIV/0!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 t="e">
        <f>SUM(G29*0.66)</f>
        <v>#DIV/0!</v>
      </c>
      <c r="D29" s="162"/>
      <c r="E29" s="162"/>
      <c r="F29" s="162"/>
      <c r="G29" s="163" t="e">
        <f>IF(E3="FAIL","$0.00",IF(G20="F","$0.00",IF(G16="F","$0.00",IF(E3="PASS",G27,))))</f>
        <v>#DIV/0!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 t="e">
        <f>SUM(G29*0.33)</f>
        <v>#DIV/0!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MoruJdqxP50dXOUJHJxIluQaovFwLQG4wOnscq4AG6A0pyOjWJ0JdI/RbnydzzB/Ooei9VjjBjBB/HiTudFEuQ==" saltValue="RP7MtmrqMaBoqjoXdqE+Yw==" spinCount="100000" sheet="1" objects="1" scenarios="1"/>
  <conditionalFormatting sqref="H24">
    <cfRule type="cellIs" dxfId="335" priority="65" stopIfTrue="1" operator="lessThan">
      <formula>0</formula>
    </cfRule>
  </conditionalFormatting>
  <conditionalFormatting sqref="I24:I26">
    <cfRule type="cellIs" dxfId="334" priority="56" stopIfTrue="1" operator="lessThan">
      <formula>0</formula>
    </cfRule>
  </conditionalFormatting>
  <conditionalFormatting sqref="E3">
    <cfRule type="containsText" dxfId="333" priority="54" stopIfTrue="1" operator="containsText" text="PASS">
      <formula>NOT(ISERROR(SEARCH("PASS",E3)))</formula>
    </cfRule>
    <cfRule type="containsText" dxfId="332" priority="55" stopIfTrue="1" operator="containsText" text="FAIL">
      <formula>NOT(ISERROR(SEARCH("FAIL",E3)))</formula>
    </cfRule>
  </conditionalFormatting>
  <conditionalFormatting sqref="B19:G19">
    <cfRule type="cellIs" dxfId="331" priority="43" stopIfTrue="1" operator="greaterThanOrEqual">
      <formula>0.27</formula>
    </cfRule>
    <cfRule type="cellIs" dxfId="330" priority="44" stopIfTrue="1" operator="between">
      <formula>0.23</formula>
      <formula>0.25</formula>
    </cfRule>
    <cfRule type="cellIs" dxfId="329" priority="45" stopIfTrue="1" operator="lessThan">
      <formula>0.2</formula>
    </cfRule>
    <cfRule type="cellIs" dxfId="328" priority="53" stopIfTrue="1" operator="between">
      <formula>0.2</formula>
      <formula>0.2299</formula>
    </cfRule>
  </conditionalFormatting>
  <conditionalFormatting sqref="B15:G15">
    <cfRule type="cellIs" dxfId="327" priority="52" stopIfTrue="1" operator="between">
      <formula>0.3</formula>
      <formula>0.32</formula>
    </cfRule>
  </conditionalFormatting>
  <conditionalFormatting sqref="B10:G10">
    <cfRule type="cellIs" dxfId="326" priority="49" stopIfTrue="1" operator="greaterThan">
      <formula>0.1</formula>
    </cfRule>
    <cfRule type="cellIs" dxfId="325" priority="50" stopIfTrue="1" operator="greaterThan">
      <formula>0.07</formula>
    </cfRule>
    <cfRule type="cellIs" dxfId="324" priority="51" stopIfTrue="1" operator="greaterThan">
      <formula>0.02</formula>
    </cfRule>
  </conditionalFormatting>
  <conditionalFormatting sqref="B15:G15">
    <cfRule type="cellIs" dxfId="323" priority="46" stopIfTrue="1" operator="greaterThanOrEqual">
      <formula>0.32</formula>
    </cfRule>
    <cfRule type="cellIs" dxfId="322" priority="47" stopIfTrue="1" operator="between">
      <formula>0.27</formula>
      <formula>0.3</formula>
    </cfRule>
    <cfRule type="cellIs" dxfId="321" priority="48" stopIfTrue="1" operator="lessThanOrEqual">
      <formula>0.27</formula>
    </cfRule>
  </conditionalFormatting>
  <conditionalFormatting sqref="B26:G26 B28:G28 B27:F27">
    <cfRule type="cellIs" dxfId="320" priority="41" stopIfTrue="1" operator="lessThan">
      <formula>0</formula>
    </cfRule>
  </conditionalFormatting>
  <conditionalFormatting sqref="B10:G10">
    <cfRule type="cellIs" dxfId="319" priority="40" stopIfTrue="1" operator="lessThanOrEqual">
      <formula>0.02</formula>
    </cfRule>
  </conditionalFormatting>
  <conditionalFormatting sqref="B11:G12">
    <cfRule type="cellIs" dxfId="318" priority="36" stopIfTrue="1" operator="equal">
      <formula>"F"</formula>
    </cfRule>
    <cfRule type="cellIs" dxfId="317" priority="37" stopIfTrue="1" operator="equal">
      <formula>"C"</formula>
    </cfRule>
    <cfRule type="cellIs" dxfId="316" priority="38" stopIfTrue="1" operator="equal">
      <formula>"B"</formula>
    </cfRule>
    <cfRule type="cellIs" dxfId="315" priority="39" stopIfTrue="1" operator="equal">
      <formula>"A"</formula>
    </cfRule>
  </conditionalFormatting>
  <conditionalFormatting sqref="B16:G16 F17">
    <cfRule type="cellIs" dxfId="314" priority="32" stopIfTrue="1" operator="equal">
      <formula>"F"</formula>
    </cfRule>
    <cfRule type="cellIs" dxfId="313" priority="33" stopIfTrue="1" operator="equal">
      <formula>"C"</formula>
    </cfRule>
    <cfRule type="cellIs" dxfId="312" priority="34" stopIfTrue="1" operator="equal">
      <formula>"B"</formula>
    </cfRule>
    <cfRule type="cellIs" dxfId="311" priority="35" stopIfTrue="1" operator="equal">
      <formula>"A"</formula>
    </cfRule>
  </conditionalFormatting>
  <conditionalFormatting sqref="B20:G20 B21:F21">
    <cfRule type="cellIs" dxfId="310" priority="28" stopIfTrue="1" operator="equal">
      <formula>"F"</formula>
    </cfRule>
    <cfRule type="cellIs" dxfId="309" priority="29" stopIfTrue="1" operator="equal">
      <formula>"C"</formula>
    </cfRule>
    <cfRule type="cellIs" dxfId="308" priority="30" stopIfTrue="1" operator="equal">
      <formula>"B"</formula>
    </cfRule>
    <cfRule type="cellIs" dxfId="307" priority="31" stopIfTrue="1" operator="equal">
      <formula>"A"</formula>
    </cfRule>
  </conditionalFormatting>
  <conditionalFormatting sqref="G17">
    <cfRule type="cellIs" dxfId="306" priority="24" stopIfTrue="1" operator="equal">
      <formula>"F"</formula>
    </cfRule>
    <cfRule type="cellIs" dxfId="305" priority="25" stopIfTrue="1" operator="equal">
      <formula>"C"</formula>
    </cfRule>
    <cfRule type="cellIs" dxfId="304" priority="26" stopIfTrue="1" operator="equal">
      <formula>"B"</formula>
    </cfRule>
    <cfRule type="cellIs" dxfId="303" priority="27" stopIfTrue="1" operator="equal">
      <formula>"A"</formula>
    </cfRule>
  </conditionalFormatting>
  <conditionalFormatting sqref="G21">
    <cfRule type="cellIs" dxfId="302" priority="20" stopIfTrue="1" operator="equal">
      <formula>"F"</formula>
    </cfRule>
    <cfRule type="cellIs" dxfId="301" priority="21" stopIfTrue="1" operator="equal">
      <formula>"C"</formula>
    </cfRule>
    <cfRule type="cellIs" dxfId="300" priority="22" stopIfTrue="1" operator="equal">
      <formula>"B"</formula>
    </cfRule>
    <cfRule type="cellIs" dxfId="299" priority="23" stopIfTrue="1" operator="equal">
      <formula>"A"</formula>
    </cfRule>
  </conditionalFormatting>
  <conditionalFormatting sqref="B24:G24">
    <cfRule type="cellIs" dxfId="298" priority="15" stopIfTrue="1" operator="greaterThan">
      <formula>10</formula>
    </cfRule>
  </conditionalFormatting>
  <conditionalFormatting sqref="B22:F22">
    <cfRule type="cellIs" dxfId="297" priority="11" stopIfTrue="1" operator="equal">
      <formula>"F"</formula>
    </cfRule>
    <cfRule type="cellIs" dxfId="296" priority="12" stopIfTrue="1" operator="equal">
      <formula>"C"</formula>
    </cfRule>
    <cfRule type="cellIs" dxfId="295" priority="13" stopIfTrue="1" operator="equal">
      <formula>"B"</formula>
    </cfRule>
    <cfRule type="cellIs" dxfId="294" priority="14" stopIfTrue="1" operator="equal">
      <formula>"A"</formula>
    </cfRule>
  </conditionalFormatting>
  <conditionalFormatting sqref="G22">
    <cfRule type="cellIs" dxfId="293" priority="7" stopIfTrue="1" operator="equal">
      <formula>"F"</formula>
    </cfRule>
    <cfRule type="cellIs" dxfId="292" priority="8" stopIfTrue="1" operator="equal">
      <formula>"C"</formula>
    </cfRule>
    <cfRule type="cellIs" dxfId="291" priority="9" stopIfTrue="1" operator="equal">
      <formula>"B"</formula>
    </cfRule>
    <cfRule type="cellIs" dxfId="290" priority="10" stopIfTrue="1" operator="equal">
      <formula>"A"</formula>
    </cfRule>
  </conditionalFormatting>
  <conditionalFormatting sqref="B23:F23">
    <cfRule type="cellIs" dxfId="289" priority="5" operator="lessThanOrEqual">
      <formula>$B$22</formula>
    </cfRule>
    <cfRule type="cellIs" dxfId="288" priority="6" operator="greaterThanOrEqual">
      <formula>$B$22</formula>
    </cfRule>
  </conditionalFormatting>
  <conditionalFormatting sqref="G23">
    <cfRule type="cellIs" dxfId="287" priority="1" operator="lessThanOrEqual">
      <formula>$B$22</formula>
    </cfRule>
    <cfRule type="cellIs" dxfId="286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8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B6" sqref="B6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88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/>
      <c r="C5" s="115"/>
      <c r="D5" s="115"/>
      <c r="E5" s="114"/>
      <c r="F5" s="114"/>
      <c r="G5" s="116">
        <f>SUM(B5:F5)</f>
        <v>0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/>
      <c r="C6" s="347">
        <f>B6+7</f>
        <v>7</v>
      </c>
      <c r="D6" s="347">
        <f>C6+7</f>
        <v>14</v>
      </c>
      <c r="E6" s="347">
        <f>D6+7</f>
        <v>21</v>
      </c>
      <c r="F6" s="347">
        <f>E6+7</f>
        <v>28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/>
      <c r="C7" s="115"/>
      <c r="D7" s="115"/>
      <c r="E7" s="114"/>
      <c r="F7" s="114"/>
      <c r="G7" s="116">
        <f>SUM(B7:F7)</f>
        <v>0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/>
      <c r="C8" s="121"/>
      <c r="D8" s="115"/>
      <c r="E8" s="115"/>
      <c r="F8" s="120"/>
      <c r="G8" s="116">
        <f>SUM(B8:F8)</f>
        <v>0</v>
      </c>
      <c r="H8" s="255">
        <f>SUM(G8*0.03)</f>
        <v>0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0</v>
      </c>
      <c r="C9" s="296">
        <f>SUM(C7-C8)</f>
        <v>0</v>
      </c>
      <c r="D9" s="296">
        <f t="shared" ref="D9:F9" si="0">SUM(D7-D8)</f>
        <v>0</v>
      </c>
      <c r="E9" s="296">
        <f t="shared" si="0"/>
        <v>0</v>
      </c>
      <c r="F9" s="296">
        <f t="shared" si="0"/>
        <v>0</v>
      </c>
      <c r="G9" s="307">
        <f>SUM(G7-G8)</f>
        <v>0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 t="e">
        <f>(B7-B5)/B5</f>
        <v>#DIV/0!</v>
      </c>
      <c r="C10" s="128" t="e">
        <f t="shared" ref="C10:F10" si="1">(C7-C5)/C5</f>
        <v>#DIV/0!</v>
      </c>
      <c r="D10" s="128" t="e">
        <f t="shared" si="1"/>
        <v>#DIV/0!</v>
      </c>
      <c r="E10" s="128" t="e">
        <f t="shared" si="1"/>
        <v>#DIV/0!</v>
      </c>
      <c r="F10" s="128" t="e">
        <f t="shared" si="1"/>
        <v>#DIV/0!</v>
      </c>
      <c r="G10" s="129" t="e">
        <f>(G7-G5)/G5</f>
        <v>#DIV/0!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e">
        <f>IF(B10&gt;=10%,"A",IF(B10&gt;=7%,"B",IF(B10&gt;2%,"C",IF(B10&lt;2%,"F",))))</f>
        <v>#DIV/0!</v>
      </c>
      <c r="C11" s="308" t="e">
        <f t="shared" ref="C11:F11" si="2">IF(C10&gt;=10%,"A",IF(C10&gt;=7%,"B",IF(C10&gt;2%,"C",IF(C10&lt;2%,"F",))))</f>
        <v>#DIV/0!</v>
      </c>
      <c r="D11" s="308" t="e">
        <f t="shared" si="2"/>
        <v>#DIV/0!</v>
      </c>
      <c r="E11" s="308" t="e">
        <f t="shared" si="2"/>
        <v>#DIV/0!</v>
      </c>
      <c r="F11" s="308" t="e">
        <f t="shared" si="2"/>
        <v>#DIV/0!</v>
      </c>
      <c r="G11" s="130" t="e">
        <f>IF(G10&gt;=10%,"A",IF(G10&gt;=7%,"B",IF(G10&gt;2%,"C",IF(G10&lt;2%,"F",))))</f>
        <v>#DIV/0!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 t="e">
        <f>LOOKUP(G11,J9:K12)</f>
        <v>#DIV/0!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/>
      <c r="C13" s="115"/>
      <c r="D13" s="115"/>
      <c r="E13" s="115"/>
      <c r="F13" s="120"/>
      <c r="G13" s="116">
        <f>SUM(B13:F13)+G14</f>
        <v>0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/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 t="e">
        <f>SUM(B13/B7)</f>
        <v>#DIV/0!</v>
      </c>
      <c r="C15" s="129" t="e">
        <f t="shared" ref="C15:F15" si="3">SUM(C13/C7)</f>
        <v>#DIV/0!</v>
      </c>
      <c r="D15" s="129" t="e">
        <f t="shared" si="3"/>
        <v>#DIV/0!</v>
      </c>
      <c r="E15" s="129" t="e">
        <f t="shared" si="3"/>
        <v>#DIV/0!</v>
      </c>
      <c r="F15" s="129" t="e">
        <f t="shared" si="3"/>
        <v>#DIV/0!</v>
      </c>
      <c r="G15" s="129" t="e">
        <f>SUM(G13/G7)</f>
        <v>#DIV/0!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e">
        <f>IF(B15&lt;=27%,"A",IF(B15&lt;=30%,"B",IF(B15&lt;32%,"C",IF(B15&gt;=32%,"F",))))</f>
        <v>#DIV/0!</v>
      </c>
      <c r="C16" s="308" t="e">
        <f t="shared" ref="C16:F16" si="4">IF(C15&lt;=27%,"A",IF(C15&lt;=30%,"B",IF(C15&lt;32%,"C",IF(C15&gt;=32%,"F",))))</f>
        <v>#DIV/0!</v>
      </c>
      <c r="D16" s="308" t="e">
        <f t="shared" si="4"/>
        <v>#DIV/0!</v>
      </c>
      <c r="E16" s="308" t="e">
        <f t="shared" si="4"/>
        <v>#DIV/0!</v>
      </c>
      <c r="F16" s="308" t="e">
        <f t="shared" si="4"/>
        <v>#DIV/0!</v>
      </c>
      <c r="G16" s="130" t="e">
        <f>IF(G15&lt;=27%,"A",IF(G15&lt;=30%,"B",IF(G15&lt;=32%,"C",IF(G15&gt;32%,"F",))))</f>
        <v>#DIV/0!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 t="e">
        <f>LOOKUP(G16,J9:K12)</f>
        <v>#DIV/0!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/>
      <c r="C18" s="115"/>
      <c r="D18" s="115"/>
      <c r="E18" s="115"/>
      <c r="F18" s="115"/>
      <c r="G18" s="116">
        <f>SUM(B18:F18)</f>
        <v>0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 t="e">
        <f>SUM(B18/B7)</f>
        <v>#DIV/0!</v>
      </c>
      <c r="C19" s="129" t="e">
        <f t="shared" ref="C19:F19" si="5">SUM(C18/C7)</f>
        <v>#DIV/0!</v>
      </c>
      <c r="D19" s="129" t="e">
        <f t="shared" si="5"/>
        <v>#DIV/0!</v>
      </c>
      <c r="E19" s="129" t="e">
        <f t="shared" si="5"/>
        <v>#DIV/0!</v>
      </c>
      <c r="F19" s="129" t="e">
        <f t="shared" si="5"/>
        <v>#DIV/0!</v>
      </c>
      <c r="G19" s="129" t="e">
        <f>SUM(G18/G7)</f>
        <v>#DIV/0!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e">
        <f>IF(B19&lt;=20%,"A",IF(B19&lt;=23%,"B",IF(B19&lt;25%,"C",IF(B19&gt;=25%,"F",))))</f>
        <v>#DIV/0!</v>
      </c>
      <c r="C20" s="308" t="e">
        <f>IF(C19&lt;=20%,"A",IF(C19&lt;=23%,"B",IF(C19&lt;25%,"C",IF(C19&gt;=25%,"F",IF))))</f>
        <v>#DIV/0!</v>
      </c>
      <c r="D20" s="308" t="e">
        <f>IF(D19&lt;=20%,"A",IF(D19&lt;=23%,"B",IF(D19&lt;25%,"C",IF(D19&gt;=25%,"F",IF))))</f>
        <v>#DIV/0!</v>
      </c>
      <c r="E20" s="308" t="e">
        <f>IF(E19&lt;=20%,"A",IF(E19&lt;=23%,"B",IF(E19&lt;25%,"C",IF(E19&gt;=25%,"F",IF))))</f>
        <v>#DIV/0!</v>
      </c>
      <c r="F20" s="308" t="e">
        <f>IF(F19&lt;=20%,"A",IF(F19&lt;=23%,"B",IF(F19&lt;25%,"C",IF(F19&gt;=25%,"F",IF))))</f>
        <v>#DIV/0!</v>
      </c>
      <c r="G20" s="130" t="e">
        <f>IF(G19&lt;=20%,"A",IF(G19&lt;=23%,"B",IF(G19&lt;=25%,"C",IF(G19&gt;25%,"F",IF))))</f>
        <v>#DIV/0!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 t="e">
        <f>LOOKUP(G20,J9:K12)</f>
        <v>#DIV/0!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/>
      <c r="C22" s="295"/>
      <c r="D22" s="295"/>
      <c r="E22" s="295"/>
      <c r="F22" s="327"/>
      <c r="G22" s="312" t="e">
        <f>AVERAGE(B22:F22)</f>
        <v>#DIV/0!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/>
      <c r="C23" s="295"/>
      <c r="D23" s="295"/>
      <c r="E23" s="295"/>
      <c r="F23" s="295"/>
      <c r="G23" s="352" t="e">
        <f>AVERAGE(B23:F23)</f>
        <v>#DIV/0!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0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e">
        <f t="shared" si="6"/>
        <v>#DIV/0!</v>
      </c>
      <c r="H24" s="149" t="e">
        <f>SUM(+G12+G17+G21)</f>
        <v>#DIV/0!</v>
      </c>
      <c r="I24" s="150" t="s">
        <v>2</v>
      </c>
      <c r="J24" s="151" t="e">
        <f>SUM(H26*1.5)</f>
        <v>#DIV/0!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/>
      <c r="C25" s="115"/>
      <c r="D25" s="115"/>
      <c r="E25" s="115"/>
      <c r="F25" s="115"/>
      <c r="G25" s="307">
        <f>SUM(B25:F25)</f>
        <v>0</v>
      </c>
      <c r="H25" s="149" t="e">
        <f>SUM(G24+G26)</f>
        <v>#DIV/0!</v>
      </c>
      <c r="I25" s="152" t="s">
        <v>3</v>
      </c>
      <c r="J25" s="153" t="e">
        <f>SUM(H26*1.25)</f>
        <v>#DIV/0!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 t="e">
        <f>SUM(+H8+H24+H25)</f>
        <v>#DIV/0!</v>
      </c>
      <c r="I26" s="150" t="s">
        <v>4</v>
      </c>
      <c r="J26" s="249" t="e">
        <f>SUM(H26*1)</f>
        <v>#DIV/0!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 t="e">
        <f>LOOKUP(H9,I24:J26)</f>
        <v>#DIV/0!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 t="e">
        <f>SUM(G29*0.66)</f>
        <v>#DIV/0!</v>
      </c>
      <c r="D29" s="162"/>
      <c r="E29" s="162"/>
      <c r="F29" s="162"/>
      <c r="G29" s="163" t="e">
        <f>IF(E3="FAIL","$0.00",IF(G20="F","$0.00",IF(G16="F","$0.00",IF(E3="PASS",G27,))))</f>
        <v>#DIV/0!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 t="e">
        <f>SUM(G29*0.33)</f>
        <v>#DIV/0!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Y1NU9X08yEvJAzGhnQK5Ij1ygCcCHPqnn/j7GaecECgOc6hZdV4yO/0g2jx3RDAgYIJ+BGLTzdgXOUjXooxmIw==" saltValue="xV+ymHwih5bkvXMv+nc48g==" spinCount="100000" sheet="1" objects="1" scenarios="1"/>
  <conditionalFormatting sqref="H24">
    <cfRule type="cellIs" dxfId="285" priority="65" stopIfTrue="1" operator="lessThan">
      <formula>0</formula>
    </cfRule>
  </conditionalFormatting>
  <conditionalFormatting sqref="I24:I26">
    <cfRule type="cellIs" dxfId="284" priority="56" stopIfTrue="1" operator="lessThan">
      <formula>0</formula>
    </cfRule>
  </conditionalFormatting>
  <conditionalFormatting sqref="E3">
    <cfRule type="containsText" dxfId="283" priority="54" stopIfTrue="1" operator="containsText" text="PASS">
      <formula>NOT(ISERROR(SEARCH("PASS",E3)))</formula>
    </cfRule>
    <cfRule type="containsText" dxfId="282" priority="55" stopIfTrue="1" operator="containsText" text="FAIL">
      <formula>NOT(ISERROR(SEARCH("FAIL",E3)))</formula>
    </cfRule>
  </conditionalFormatting>
  <conditionalFormatting sqref="B19:G19">
    <cfRule type="cellIs" dxfId="281" priority="43" stopIfTrue="1" operator="greaterThanOrEqual">
      <formula>0.27</formula>
    </cfRule>
    <cfRule type="cellIs" dxfId="280" priority="44" stopIfTrue="1" operator="between">
      <formula>0.23</formula>
      <formula>0.25</formula>
    </cfRule>
    <cfRule type="cellIs" dxfId="279" priority="45" stopIfTrue="1" operator="lessThan">
      <formula>0.2</formula>
    </cfRule>
    <cfRule type="cellIs" dxfId="278" priority="53" stopIfTrue="1" operator="between">
      <formula>0.2</formula>
      <formula>0.2299</formula>
    </cfRule>
  </conditionalFormatting>
  <conditionalFormatting sqref="B15:G15">
    <cfRule type="cellIs" dxfId="277" priority="52" stopIfTrue="1" operator="between">
      <formula>0.3</formula>
      <formula>0.32</formula>
    </cfRule>
  </conditionalFormatting>
  <conditionalFormatting sqref="B10:G10">
    <cfRule type="cellIs" dxfId="276" priority="49" stopIfTrue="1" operator="greaterThan">
      <formula>0.1</formula>
    </cfRule>
    <cfRule type="cellIs" dxfId="275" priority="50" stopIfTrue="1" operator="greaterThan">
      <formula>0.07</formula>
    </cfRule>
    <cfRule type="cellIs" dxfId="274" priority="51" stopIfTrue="1" operator="greaterThan">
      <formula>0.02</formula>
    </cfRule>
  </conditionalFormatting>
  <conditionalFormatting sqref="B15:G15">
    <cfRule type="cellIs" dxfId="273" priority="46" stopIfTrue="1" operator="greaterThanOrEqual">
      <formula>0.32</formula>
    </cfRule>
    <cfRule type="cellIs" dxfId="272" priority="47" stopIfTrue="1" operator="between">
      <formula>0.27</formula>
      <formula>0.3</formula>
    </cfRule>
    <cfRule type="cellIs" dxfId="271" priority="48" stopIfTrue="1" operator="lessThanOrEqual">
      <formula>0.27</formula>
    </cfRule>
  </conditionalFormatting>
  <conditionalFormatting sqref="B26:G26 B28:G28 B27:F27">
    <cfRule type="cellIs" dxfId="270" priority="41" stopIfTrue="1" operator="lessThan">
      <formula>0</formula>
    </cfRule>
  </conditionalFormatting>
  <conditionalFormatting sqref="B10:G10">
    <cfRule type="cellIs" dxfId="269" priority="40" stopIfTrue="1" operator="lessThanOrEqual">
      <formula>0.02</formula>
    </cfRule>
  </conditionalFormatting>
  <conditionalFormatting sqref="B11:G12">
    <cfRule type="cellIs" dxfId="268" priority="36" stopIfTrue="1" operator="equal">
      <formula>"F"</formula>
    </cfRule>
    <cfRule type="cellIs" dxfId="267" priority="37" stopIfTrue="1" operator="equal">
      <formula>"C"</formula>
    </cfRule>
    <cfRule type="cellIs" dxfId="266" priority="38" stopIfTrue="1" operator="equal">
      <formula>"B"</formula>
    </cfRule>
    <cfRule type="cellIs" dxfId="265" priority="39" stopIfTrue="1" operator="equal">
      <formula>"A"</formula>
    </cfRule>
  </conditionalFormatting>
  <conditionalFormatting sqref="B16:G16 F17">
    <cfRule type="cellIs" dxfId="264" priority="32" stopIfTrue="1" operator="equal">
      <formula>"F"</formula>
    </cfRule>
    <cfRule type="cellIs" dxfId="263" priority="33" stopIfTrue="1" operator="equal">
      <formula>"C"</formula>
    </cfRule>
    <cfRule type="cellIs" dxfId="262" priority="34" stopIfTrue="1" operator="equal">
      <formula>"B"</formula>
    </cfRule>
    <cfRule type="cellIs" dxfId="261" priority="35" stopIfTrue="1" operator="equal">
      <formula>"A"</formula>
    </cfRule>
  </conditionalFormatting>
  <conditionalFormatting sqref="B20:G20 B21:F21">
    <cfRule type="cellIs" dxfId="260" priority="28" stopIfTrue="1" operator="equal">
      <formula>"F"</formula>
    </cfRule>
    <cfRule type="cellIs" dxfId="259" priority="29" stopIfTrue="1" operator="equal">
      <formula>"C"</formula>
    </cfRule>
    <cfRule type="cellIs" dxfId="258" priority="30" stopIfTrue="1" operator="equal">
      <formula>"B"</formula>
    </cfRule>
    <cfRule type="cellIs" dxfId="257" priority="31" stopIfTrue="1" operator="equal">
      <formula>"A"</formula>
    </cfRule>
  </conditionalFormatting>
  <conditionalFormatting sqref="G17">
    <cfRule type="cellIs" dxfId="256" priority="24" stopIfTrue="1" operator="equal">
      <formula>"F"</formula>
    </cfRule>
    <cfRule type="cellIs" dxfId="255" priority="25" stopIfTrue="1" operator="equal">
      <formula>"C"</formula>
    </cfRule>
    <cfRule type="cellIs" dxfId="254" priority="26" stopIfTrue="1" operator="equal">
      <formula>"B"</formula>
    </cfRule>
    <cfRule type="cellIs" dxfId="253" priority="27" stopIfTrue="1" operator="equal">
      <formula>"A"</formula>
    </cfRule>
  </conditionalFormatting>
  <conditionalFormatting sqref="G21">
    <cfRule type="cellIs" dxfId="252" priority="20" stopIfTrue="1" operator="equal">
      <formula>"F"</formula>
    </cfRule>
    <cfRule type="cellIs" dxfId="251" priority="21" stopIfTrue="1" operator="equal">
      <formula>"C"</formula>
    </cfRule>
    <cfRule type="cellIs" dxfId="250" priority="22" stopIfTrue="1" operator="equal">
      <formula>"B"</formula>
    </cfRule>
    <cfRule type="cellIs" dxfId="249" priority="23" stopIfTrue="1" operator="equal">
      <formula>"A"</formula>
    </cfRule>
  </conditionalFormatting>
  <conditionalFormatting sqref="B24:G24">
    <cfRule type="cellIs" dxfId="248" priority="15" stopIfTrue="1" operator="greaterThan">
      <formula>10</formula>
    </cfRule>
  </conditionalFormatting>
  <conditionalFormatting sqref="B22:F22">
    <cfRule type="cellIs" dxfId="247" priority="11" stopIfTrue="1" operator="equal">
      <formula>"F"</formula>
    </cfRule>
    <cfRule type="cellIs" dxfId="246" priority="12" stopIfTrue="1" operator="equal">
      <formula>"C"</formula>
    </cfRule>
    <cfRule type="cellIs" dxfId="245" priority="13" stopIfTrue="1" operator="equal">
      <formula>"B"</formula>
    </cfRule>
    <cfRule type="cellIs" dxfId="244" priority="14" stopIfTrue="1" operator="equal">
      <formula>"A"</formula>
    </cfRule>
  </conditionalFormatting>
  <conditionalFormatting sqref="G22">
    <cfRule type="cellIs" dxfId="243" priority="7" stopIfTrue="1" operator="equal">
      <formula>"F"</formula>
    </cfRule>
    <cfRule type="cellIs" dxfId="242" priority="8" stopIfTrue="1" operator="equal">
      <formula>"C"</formula>
    </cfRule>
    <cfRule type="cellIs" dxfId="241" priority="9" stopIfTrue="1" operator="equal">
      <formula>"B"</formula>
    </cfRule>
    <cfRule type="cellIs" dxfId="240" priority="10" stopIfTrue="1" operator="equal">
      <formula>"A"</formula>
    </cfRule>
  </conditionalFormatting>
  <conditionalFormatting sqref="B23:F23">
    <cfRule type="cellIs" dxfId="239" priority="5" operator="lessThanOrEqual">
      <formula>$B$22</formula>
    </cfRule>
    <cfRule type="cellIs" dxfId="238" priority="6" operator="greaterThanOrEqual">
      <formula>$B$22</formula>
    </cfRule>
  </conditionalFormatting>
  <conditionalFormatting sqref="G23">
    <cfRule type="cellIs" dxfId="237" priority="1" operator="lessThanOrEqual">
      <formula>$B$22</formula>
    </cfRule>
    <cfRule type="cellIs" dxfId="236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8" zoomScaleNormal="100" workbookViewId="0">
      <selection activeCell="E25" sqref="E25"/>
    </sheetView>
  </sheetViews>
  <sheetFormatPr defaultRowHeight="15"/>
  <cols>
    <col min="1" max="1" width="43.140625" style="333" customWidth="1"/>
    <col min="2" max="4" width="19.85546875" style="196" customWidth="1"/>
    <col min="5" max="5" width="22" style="196" bestFit="1" customWidth="1"/>
    <col min="6" max="6" width="15.7109375" style="194" bestFit="1" customWidth="1"/>
    <col min="7" max="7" width="7.140625" style="194" bestFit="1" customWidth="1"/>
    <col min="8" max="8" width="14.7109375" style="194" bestFit="1" customWidth="1"/>
    <col min="9" max="9" width="13.5703125" style="194" bestFit="1" customWidth="1"/>
    <col min="10" max="10" width="13.85546875" style="195" bestFit="1" customWidth="1"/>
    <col min="11" max="11" width="9.140625" style="195"/>
    <col min="12" max="16384" width="9.140625" style="196"/>
  </cols>
  <sheetData>
    <row r="1" spans="1:11" ht="29.25" thickBot="1">
      <c r="A1" s="330" t="s">
        <v>67</v>
      </c>
      <c r="B1" s="190">
        <f>JAN!B1</f>
        <v>870</v>
      </c>
      <c r="C1" s="191"/>
      <c r="D1" s="192">
        <f>JAN!D1</f>
        <v>2020</v>
      </c>
      <c r="E1" s="193" t="s">
        <v>97</v>
      </c>
    </row>
    <row r="2" spans="1:11" ht="26.25">
      <c r="A2" s="330"/>
      <c r="B2" s="197"/>
      <c r="C2" s="191"/>
      <c r="D2" s="191"/>
      <c r="E2" s="198"/>
      <c r="H2" s="199"/>
    </row>
    <row r="3" spans="1:11" ht="27" thickBot="1">
      <c r="A3" s="336"/>
      <c r="B3" s="32"/>
      <c r="C3" s="9"/>
      <c r="D3" s="9"/>
      <c r="E3" s="171"/>
      <c r="H3" s="199"/>
    </row>
    <row r="4" spans="1:11" s="205" customFormat="1" ht="27" thickBot="1">
      <c r="A4" s="336"/>
      <c r="B4" s="88" t="s">
        <v>90</v>
      </c>
      <c r="C4" s="89" t="s">
        <v>89</v>
      </c>
      <c r="D4" s="89" t="s">
        <v>88</v>
      </c>
      <c r="E4" s="91" t="s">
        <v>15</v>
      </c>
      <c r="F4" s="194"/>
      <c r="G4" s="194"/>
      <c r="H4" s="194"/>
      <c r="I4" s="194"/>
      <c r="J4" s="204"/>
      <c r="K4" s="204"/>
    </row>
    <row r="5" spans="1:11" s="119" customFormat="1" ht="39.950000000000003" customHeight="1" thickBot="1">
      <c r="A5" s="297" t="str">
        <f>JAN!A5</f>
        <v>Last Year Sales</v>
      </c>
      <c r="B5" s="172">
        <f>JUL!G5</f>
        <v>11998.51</v>
      </c>
      <c r="C5" s="173">
        <f>AUG!G5</f>
        <v>0</v>
      </c>
      <c r="D5" s="173">
        <f>SEP!G5</f>
        <v>0</v>
      </c>
      <c r="E5" s="174">
        <f>SUM(B5:D5)</f>
        <v>11998.51</v>
      </c>
      <c r="F5" s="118"/>
      <c r="G5" s="118"/>
      <c r="H5" s="118"/>
      <c r="I5" s="118"/>
      <c r="J5" s="118"/>
      <c r="K5" s="118"/>
    </row>
    <row r="6" spans="1:11" s="39" customFormat="1" ht="39.950000000000003" customHeight="1" thickBot="1">
      <c r="A6" s="337" t="str">
        <f>JAN!A6</f>
        <v>week Ending Date</v>
      </c>
      <c r="B6" s="175"/>
      <c r="C6" s="175"/>
      <c r="D6" s="175"/>
      <c r="E6" s="293">
        <f>F8</f>
        <v>6</v>
      </c>
      <c r="F6" s="283"/>
      <c r="G6" s="268"/>
      <c r="H6" s="268"/>
      <c r="I6" s="268"/>
      <c r="J6" s="85"/>
      <c r="K6" s="85"/>
    </row>
    <row r="7" spans="1:11" s="119" customFormat="1" ht="39.950000000000003" customHeight="1" thickBot="1">
      <c r="A7" s="297" t="str">
        <f>JAN!A7</f>
        <v>Net Sales for Week</v>
      </c>
      <c r="B7" s="172">
        <f>JUL!G7</f>
        <v>13668</v>
      </c>
      <c r="C7" s="173">
        <f>AUG!G7</f>
        <v>0</v>
      </c>
      <c r="D7" s="173">
        <f>SEP!G7</f>
        <v>0</v>
      </c>
      <c r="E7" s="174">
        <f>SUM(B7:D7)</f>
        <v>13668</v>
      </c>
      <c r="F7" s="118"/>
      <c r="G7" s="118"/>
      <c r="H7" s="118"/>
      <c r="I7" s="118"/>
      <c r="J7" s="118"/>
      <c r="K7" s="118"/>
    </row>
    <row r="8" spans="1:11" s="119" customFormat="1" ht="39.950000000000003" customHeight="1" thickBot="1">
      <c r="A8" s="297" t="str">
        <f>JAN!A8</f>
        <v>Catering Sales $$</v>
      </c>
      <c r="B8" s="172">
        <f>JUL!G8</f>
        <v>200</v>
      </c>
      <c r="C8" s="173">
        <f>AUG!G8</f>
        <v>0</v>
      </c>
      <c r="D8" s="173">
        <f>SEP!G8</f>
        <v>0</v>
      </c>
      <c r="E8" s="174">
        <f>SUM(B8:D8)</f>
        <v>200</v>
      </c>
      <c r="F8" s="122">
        <f>SUM(E8*0.03)</f>
        <v>6</v>
      </c>
      <c r="G8" s="118"/>
      <c r="H8" s="118"/>
      <c r="I8" s="118"/>
      <c r="J8" s="118"/>
      <c r="K8" s="118"/>
    </row>
    <row r="9" spans="1:11" s="127" customFormat="1" ht="39.950000000000003" customHeight="1" thickBot="1">
      <c r="A9" s="297" t="str">
        <f>JAN!A9</f>
        <v>Sales After Catering</v>
      </c>
      <c r="B9" s="172">
        <f>JUL!G9</f>
        <v>13468</v>
      </c>
      <c r="C9" s="173">
        <f>AUG!G9</f>
        <v>0</v>
      </c>
      <c r="D9" s="173">
        <f>SEP!G9</f>
        <v>0</v>
      </c>
      <c r="E9" s="178">
        <f>SUM(E7-E8)</f>
        <v>13468</v>
      </c>
      <c r="F9" s="126"/>
      <c r="G9" s="267"/>
      <c r="H9" s="270"/>
      <c r="I9" s="271"/>
      <c r="J9" s="126"/>
      <c r="K9" s="126"/>
    </row>
    <row r="10" spans="1:11" s="119" customFormat="1" ht="39.950000000000003" customHeight="1" thickBot="1">
      <c r="A10" s="297" t="str">
        <f>JAN!A10</f>
        <v>Sales Up/Down</v>
      </c>
      <c r="B10" s="261">
        <f>JUL!G10</f>
        <v>0.1391414433958883</v>
      </c>
      <c r="C10" s="262" t="e">
        <f>AUG!G10</f>
        <v>#DIV/0!</v>
      </c>
      <c r="D10" s="262" t="e">
        <f>SEP!G10</f>
        <v>#DIV/0!</v>
      </c>
      <c r="E10" s="179">
        <f>(E7-E5)/E5</f>
        <v>0.1391414433958883</v>
      </c>
      <c r="F10" s="267"/>
      <c r="G10" s="267"/>
      <c r="H10" s="126"/>
      <c r="I10" s="271"/>
      <c r="J10" s="118"/>
      <c r="K10" s="118"/>
    </row>
    <row r="11" spans="1:11" s="119" customFormat="1" ht="39.950000000000003" customHeight="1" thickBot="1">
      <c r="A11" s="297" t="str">
        <f>JAN!A11</f>
        <v>GRAD</v>
      </c>
      <c r="B11" s="172" t="str">
        <f>JUL!G11</f>
        <v>A</v>
      </c>
      <c r="C11" s="173" t="e">
        <f>AUG!G11</f>
        <v>#DIV/0!</v>
      </c>
      <c r="D11" s="173" t="e">
        <f>SEP!G11</f>
        <v>#DIV/0!</v>
      </c>
      <c r="E11" s="180" t="str">
        <f>IF(E10&gt;=10%,"A",IF(E10&gt;=7%,"B",IF(E10&gt;2%,"C",IF(E10&lt;2%,"F",))))</f>
        <v>A</v>
      </c>
      <c r="F11" s="267"/>
      <c r="G11" s="267"/>
      <c r="H11" s="126"/>
      <c r="I11" s="271"/>
      <c r="J11" s="118"/>
      <c r="K11" s="118"/>
    </row>
    <row r="12" spans="1:11" s="119" customFormat="1" ht="39.950000000000003" customHeight="1" thickBot="1">
      <c r="A12" s="297">
        <f>JAN!A12</f>
        <v>0</v>
      </c>
      <c r="B12" s="172">
        <f>JUL!G12</f>
        <v>50</v>
      </c>
      <c r="C12" s="173" t="e">
        <f>AUG!G12</f>
        <v>#DIV/0!</v>
      </c>
      <c r="D12" s="173" t="e">
        <f>SEP!G12</f>
        <v>#DIV/0!</v>
      </c>
      <c r="E12" s="285" t="e">
        <f>SUM(B12:D12)</f>
        <v>#DIV/0!</v>
      </c>
      <c r="F12" s="267"/>
      <c r="G12" s="272"/>
      <c r="H12" s="270"/>
      <c r="I12" s="273"/>
      <c r="J12" s="134"/>
      <c r="K12" s="118"/>
    </row>
    <row r="13" spans="1:11" s="119" customFormat="1" ht="39.950000000000003" customHeight="1" thickBot="1">
      <c r="A13" s="297" t="str">
        <f>JAN!A13</f>
        <v>Reinhart Payout</v>
      </c>
      <c r="B13" s="172">
        <f>JUL!G13</f>
        <v>3832.25</v>
      </c>
      <c r="C13" s="173">
        <f>AUG!G13</f>
        <v>0</v>
      </c>
      <c r="D13" s="173">
        <f>SEP!G13</f>
        <v>0</v>
      </c>
      <c r="E13" s="174">
        <f>SUM(B13:D13)</f>
        <v>3832.25</v>
      </c>
      <c r="F13" s="274"/>
      <c r="G13" s="134"/>
      <c r="H13" s="138"/>
      <c r="I13" s="134"/>
      <c r="J13" s="138"/>
      <c r="K13" s="118"/>
    </row>
    <row r="14" spans="1:11" s="119" customFormat="1" ht="39.950000000000003" customHeight="1" thickBot="1">
      <c r="A14" s="297" t="str">
        <f>JAN!A14</f>
        <v xml:space="preserve">Transfer ( IN / OUT) </v>
      </c>
      <c r="B14" s="172">
        <f>JUL!G14</f>
        <v>0</v>
      </c>
      <c r="C14" s="173">
        <f>AUG!G14</f>
        <v>0</v>
      </c>
      <c r="D14" s="173">
        <f>SEP!G14</f>
        <v>0</v>
      </c>
      <c r="E14" s="174">
        <f>SUM(B14:D14)</f>
        <v>0</v>
      </c>
      <c r="F14" s="274"/>
      <c r="G14" s="134"/>
      <c r="H14" s="138"/>
      <c r="I14" s="134"/>
      <c r="J14" s="138"/>
      <c r="K14" s="118"/>
    </row>
    <row r="15" spans="1:11" s="119" customFormat="1" ht="39.950000000000003" customHeight="1" thickBot="1">
      <c r="A15" s="297" t="str">
        <f>JAN!A15</f>
        <v>Food Cost %</v>
      </c>
      <c r="B15" s="261">
        <f>JUL!G15</f>
        <v>0.28038118232367576</v>
      </c>
      <c r="C15" s="262" t="e">
        <f>AUG!G15</f>
        <v>#DIV/0!</v>
      </c>
      <c r="D15" s="262" t="e">
        <f>SEP!G15</f>
        <v>#DIV/0!</v>
      </c>
      <c r="E15" s="179">
        <f>SUM(E13/E7)</f>
        <v>0.28038118232367576</v>
      </c>
      <c r="F15" s="275"/>
      <c r="G15" s="272"/>
      <c r="H15" s="276"/>
      <c r="I15" s="272"/>
      <c r="J15" s="141"/>
      <c r="K15" s="118"/>
    </row>
    <row r="16" spans="1:11" s="119" customFormat="1" ht="39.950000000000003" customHeight="1" thickBot="1">
      <c r="A16" s="297" t="str">
        <f>JAN!A16</f>
        <v>GRAD</v>
      </c>
      <c r="B16" s="172" t="str">
        <f>JUL!G16</f>
        <v>B</v>
      </c>
      <c r="C16" s="173" t="e">
        <f>AUG!G16</f>
        <v>#DIV/0!</v>
      </c>
      <c r="D16" s="173" t="e">
        <f>SEP!G16</f>
        <v>#DIV/0!</v>
      </c>
      <c r="E16" s="180" t="str">
        <f>IF(E15&lt;=27%,"A",IF(E15&lt;=30%,"B",IF(E15&lt;32%,"C",IF(E15&gt;=32%,"F",))))</f>
        <v>B</v>
      </c>
      <c r="F16" s="275"/>
      <c r="G16" s="272"/>
      <c r="H16" s="276"/>
      <c r="I16" s="272"/>
      <c r="J16" s="141"/>
      <c r="K16" s="118"/>
    </row>
    <row r="17" spans="1:11" s="119" customFormat="1" ht="39.950000000000003" customHeight="1" thickBot="1">
      <c r="A17" s="297">
        <f>JAN!A17</f>
        <v>0</v>
      </c>
      <c r="B17" s="172">
        <f>JUL!G17</f>
        <v>30</v>
      </c>
      <c r="C17" s="173" t="e">
        <f>AUG!G17</f>
        <v>#DIV/0!</v>
      </c>
      <c r="D17" s="173" t="e">
        <f>SEP!G17</f>
        <v>#DIV/0!</v>
      </c>
      <c r="E17" s="285" t="e">
        <f>SUM(B17:D17)</f>
        <v>#DIV/0!</v>
      </c>
      <c r="F17" s="267"/>
      <c r="G17" s="277"/>
      <c r="H17" s="267"/>
      <c r="I17" s="278"/>
      <c r="J17" s="118"/>
      <c r="K17" s="118"/>
    </row>
    <row r="18" spans="1:11" s="119" customFormat="1" ht="39.950000000000003" customHeight="1" thickBot="1">
      <c r="A18" s="297" t="str">
        <f>JAN!A18</f>
        <v>Labor $$</v>
      </c>
      <c r="B18" s="172">
        <f>JUL!G18</f>
        <v>3060.2</v>
      </c>
      <c r="C18" s="173">
        <f>AUG!G18</f>
        <v>0</v>
      </c>
      <c r="D18" s="173">
        <f>SEP!G18</f>
        <v>0</v>
      </c>
      <c r="E18" s="174">
        <f>SUM(B18:D18)</f>
        <v>3060.2</v>
      </c>
      <c r="F18" s="134"/>
      <c r="G18" s="279"/>
      <c r="H18" s="118"/>
      <c r="I18" s="280"/>
      <c r="J18" s="118"/>
      <c r="K18" s="118"/>
    </row>
    <row r="19" spans="1:11" s="119" customFormat="1" ht="39.950000000000003" customHeight="1" thickBot="1">
      <c r="A19" s="297" t="str">
        <f>JAN!A19</f>
        <v>labor %</v>
      </c>
      <c r="B19" s="261">
        <f>JUL!G19</f>
        <v>0.2238952297336845</v>
      </c>
      <c r="C19" s="262" t="e">
        <f>AUG!G19</f>
        <v>#DIV/0!</v>
      </c>
      <c r="D19" s="262" t="e">
        <f>SEP!G19</f>
        <v>#DIV/0!</v>
      </c>
      <c r="E19" s="179">
        <f>SUM(E18/E7)</f>
        <v>0.2238952297336845</v>
      </c>
      <c r="F19" s="267"/>
      <c r="G19" s="281"/>
      <c r="H19" s="267"/>
      <c r="I19" s="278"/>
      <c r="J19" s="118"/>
      <c r="K19" s="118"/>
    </row>
    <row r="20" spans="1:11" s="119" customFormat="1" ht="39.950000000000003" customHeight="1" thickBot="1">
      <c r="A20" s="297" t="str">
        <f>JAN!A20</f>
        <v>GRAD</v>
      </c>
      <c r="B20" s="172" t="str">
        <f>JUL!G20</f>
        <v>B</v>
      </c>
      <c r="C20" s="173" t="e">
        <f>AUG!G20</f>
        <v>#DIV/0!</v>
      </c>
      <c r="D20" s="173" t="e">
        <f>SEP!G20</f>
        <v>#DIV/0!</v>
      </c>
      <c r="E20" s="181" t="str">
        <f>IF(E19&lt;=20%,"A",IF(E19&lt;=23%,"B",IF(E19&lt;25%,"C",IF(E19&gt;=25%,"F",IF))))</f>
        <v>B</v>
      </c>
      <c r="F20" s="267"/>
      <c r="G20" s="277"/>
      <c r="H20" s="272"/>
      <c r="I20" s="278"/>
      <c r="J20" s="118"/>
      <c r="K20" s="118"/>
    </row>
    <row r="21" spans="1:11" s="119" customFormat="1" ht="39.950000000000003" customHeight="1" thickBot="1">
      <c r="A21" s="297">
        <f>JAN!A21</f>
        <v>0</v>
      </c>
      <c r="B21" s="172">
        <f>JUL!G21</f>
        <v>30</v>
      </c>
      <c r="C21" s="173" t="e">
        <f>AUG!G21</f>
        <v>#DIV/0!</v>
      </c>
      <c r="D21" s="173" t="e">
        <f>SEP!G21</f>
        <v>#DIV/0!</v>
      </c>
      <c r="E21" s="285" t="e">
        <f>SUM(B21:D21)</f>
        <v>#DIV/0!</v>
      </c>
      <c r="F21" s="267"/>
      <c r="G21" s="277"/>
      <c r="H21" s="272"/>
      <c r="I21" s="278"/>
      <c r="J21" s="118"/>
      <c r="K21" s="118"/>
    </row>
    <row r="22" spans="1:11" s="119" customFormat="1" ht="39.950000000000003" customHeight="1" thickBot="1">
      <c r="A22" s="301" t="s">
        <v>110</v>
      </c>
      <c r="B22" s="349">
        <f>JUL!G22</f>
        <v>0.56000000000000005</v>
      </c>
      <c r="C22" s="350" t="e">
        <f>AUG!G22</f>
        <v>#DIV/0!</v>
      </c>
      <c r="D22" s="350" t="e">
        <f>SEP!G22</f>
        <v>#DIV/0!</v>
      </c>
      <c r="E22" s="348" t="e">
        <f>AVERAGE(B22:D22)</f>
        <v>#DIV/0!</v>
      </c>
      <c r="F22" s="267"/>
      <c r="G22" s="277"/>
      <c r="H22" s="272"/>
      <c r="I22" s="278"/>
      <c r="J22" s="118"/>
      <c r="K22" s="118"/>
    </row>
    <row r="23" spans="1:11" s="119" customFormat="1" ht="39.950000000000003" customHeight="1" thickBot="1">
      <c r="A23" s="297" t="str">
        <f>JAN!A23</f>
        <v>R / F Shop Score %</v>
      </c>
      <c r="B23" s="261">
        <f>JUL!G23</f>
        <v>0.67</v>
      </c>
      <c r="C23" s="262" t="e">
        <f>AUG!G23</f>
        <v>#DIV/0!</v>
      </c>
      <c r="D23" s="262" t="e">
        <f>SEP!G23</f>
        <v>#DIV/0!</v>
      </c>
      <c r="E23" s="342" t="e">
        <f>AVERAGE(B23:D23)</f>
        <v>#DIV/0!</v>
      </c>
      <c r="F23" s="134"/>
      <c r="G23" s="134"/>
      <c r="H23" s="118"/>
      <c r="I23" s="118"/>
      <c r="J23" s="118"/>
      <c r="K23" s="118"/>
    </row>
    <row r="24" spans="1:11" s="127" customFormat="1" ht="39.950000000000003" customHeight="1" thickBot="1">
      <c r="A24" s="297" t="str">
        <f>JAN!A24</f>
        <v>Deduction $$</v>
      </c>
      <c r="B24" s="172" t="str">
        <f>JUL!G24</f>
        <v>0</v>
      </c>
      <c r="C24" s="173" t="e">
        <f>AUG!G24</f>
        <v>#DIV/0!</v>
      </c>
      <c r="D24" s="173" t="e">
        <f>SEP!G24</f>
        <v>#DIV/0!</v>
      </c>
      <c r="E24" s="258" t="e">
        <f>SUM(B24+C24+D24)</f>
        <v>#DIV/0!</v>
      </c>
      <c r="F24" s="141"/>
      <c r="G24" s="263"/>
      <c r="H24" s="141"/>
      <c r="I24" s="267"/>
      <c r="J24" s="126"/>
      <c r="K24" s="126"/>
    </row>
    <row r="25" spans="1:11" s="119" customFormat="1" ht="39.950000000000003" customHeight="1" thickBot="1">
      <c r="A25" s="297" t="str">
        <f>JAN!A25</f>
        <v>Cash Over Short $$</v>
      </c>
      <c r="B25" s="172">
        <f>JUL!G25</f>
        <v>0</v>
      </c>
      <c r="C25" s="173">
        <f>AUG!G25</f>
        <v>0</v>
      </c>
      <c r="D25" s="173">
        <f>SEP!G25</f>
        <v>0</v>
      </c>
      <c r="E25" s="174">
        <f>SUM(B25:D25)</f>
        <v>0</v>
      </c>
      <c r="F25" s="141"/>
      <c r="G25" s="264"/>
      <c r="H25" s="141"/>
      <c r="I25" s="118"/>
      <c r="J25" s="154"/>
      <c r="K25" s="118"/>
    </row>
    <row r="26" spans="1:11" s="127" customFormat="1" ht="39.950000000000003" customHeight="1" thickBot="1">
      <c r="A26" s="297" t="str">
        <f>JAN!A26</f>
        <v>Deduction $$</v>
      </c>
      <c r="B26" s="172">
        <f>JUL!G26</f>
        <v>0</v>
      </c>
      <c r="C26" s="173">
        <f>AUG!G26</f>
        <v>0</v>
      </c>
      <c r="D26" s="173">
        <f>SEP!G26</f>
        <v>0</v>
      </c>
      <c r="E26" s="257">
        <f>E25</f>
        <v>0</v>
      </c>
      <c r="F26" s="266"/>
      <c r="G26" s="263"/>
      <c r="H26" s="265"/>
      <c r="I26" s="276"/>
      <c r="J26" s="156"/>
      <c r="K26" s="126"/>
    </row>
    <row r="27" spans="1:11" s="119" customFormat="1" ht="39.950000000000003" customHeight="1" thickBot="1">
      <c r="A27" s="168"/>
      <c r="B27" s="182"/>
      <c r="C27" s="182"/>
      <c r="D27" s="182"/>
      <c r="E27" s="286" t="e">
        <f>SUM(JUL!G27+AUG!G27+SEP!G27)</f>
        <v>#DIV/0!</v>
      </c>
      <c r="F27" s="267"/>
      <c r="G27" s="138"/>
      <c r="H27" s="282"/>
      <c r="I27" s="282"/>
      <c r="J27" s="159"/>
      <c r="K27" s="118"/>
    </row>
    <row r="28" spans="1:11" s="216" customFormat="1" ht="39.950000000000003" customHeight="1" thickBot="1">
      <c r="A28" s="244"/>
      <c r="B28" s="183"/>
      <c r="C28" s="183"/>
      <c r="D28" s="183"/>
      <c r="E28" s="184"/>
      <c r="F28" s="212"/>
      <c r="G28" s="226"/>
      <c r="H28" s="226"/>
      <c r="I28" s="242"/>
      <c r="J28" s="240"/>
      <c r="K28" s="215"/>
    </row>
    <row r="29" spans="1:11" s="208" customFormat="1" ht="39.950000000000003" customHeight="1" thickBot="1">
      <c r="A29" s="332" t="s">
        <v>71</v>
      </c>
      <c r="B29" s="172"/>
      <c r="C29" s="287" t="e">
        <f>SUM(JUL!C29+AUG!C29+SEP!C29)</f>
        <v>#DIV/0!</v>
      </c>
      <c r="D29" s="185"/>
      <c r="E29" s="186" t="e">
        <f>IF(#REF!="FAIL","$0.00",IF(#REF!="PASS",E27,))</f>
        <v>#REF!</v>
      </c>
      <c r="F29" s="212"/>
      <c r="G29" s="212"/>
      <c r="H29" s="212"/>
      <c r="I29" s="212"/>
      <c r="J29" s="207"/>
      <c r="K29" s="207"/>
    </row>
    <row r="30" spans="1:11" s="208" customFormat="1" ht="39.950000000000003" customHeight="1" thickBot="1">
      <c r="A30" s="332" t="s">
        <v>72</v>
      </c>
      <c r="B30" s="187"/>
      <c r="C30" s="287" t="e">
        <f>SUM(JUL!C30+augc29+SEP!C30)</f>
        <v>#NAME?</v>
      </c>
      <c r="D30" s="188"/>
      <c r="E30" s="189"/>
      <c r="F30" s="212"/>
      <c r="G30" s="212"/>
      <c r="H30" s="212"/>
      <c r="I30" s="212"/>
      <c r="J30" s="207"/>
      <c r="K30" s="207"/>
    </row>
    <row r="31" spans="1:11">
      <c r="B31" s="245"/>
      <c r="C31" s="245"/>
    </row>
    <row r="32" spans="1:11">
      <c r="B32" s="245"/>
      <c r="C32" s="245"/>
    </row>
    <row r="33" spans="2:3">
      <c r="B33" s="245"/>
      <c r="C33" s="245"/>
    </row>
    <row r="34" spans="2:3">
      <c r="B34" s="245"/>
      <c r="C34" s="245"/>
    </row>
    <row r="35" spans="2:3">
      <c r="B35" s="245"/>
      <c r="C35" s="245"/>
    </row>
    <row r="36" spans="2:3">
      <c r="B36" s="246"/>
      <c r="C36" s="245"/>
    </row>
    <row r="37" spans="2:3">
      <c r="B37" s="245"/>
      <c r="C37" s="245"/>
    </row>
    <row r="38" spans="2:3">
      <c r="B38" s="245"/>
      <c r="C38" s="245"/>
    </row>
    <row r="39" spans="2:3">
      <c r="B39" s="245"/>
      <c r="C39" s="245"/>
    </row>
    <row r="40" spans="2:3">
      <c r="B40" s="245"/>
      <c r="C40" s="245"/>
    </row>
    <row r="41" spans="2:3">
      <c r="B41" s="245"/>
      <c r="C41" s="245"/>
    </row>
    <row r="42" spans="2:3">
      <c r="B42" s="245"/>
      <c r="C42" s="245"/>
    </row>
  </sheetData>
  <sheetProtection algorithmName="SHA-512" hashValue="948S5MC+tGKjgWaobux3a5O5MUjPYjSZpYRgzDI6qmYfmZUR7twk57bQavf16tMEyVdvMREmkIMejdr81B2xBw==" saltValue="vXhBH6M3Wa3a3iv67fwp+A==" spinCount="100000" sheet="1" objects="1" scenarios="1"/>
  <conditionalFormatting sqref="B28:E28">
    <cfRule type="cellIs" dxfId="235" priority="96" stopIfTrue="1" operator="lessThan">
      <formula>0</formula>
    </cfRule>
  </conditionalFormatting>
  <conditionalFormatting sqref="F24">
    <cfRule type="cellIs" dxfId="234" priority="36" stopIfTrue="1" operator="lessThan">
      <formula>0</formula>
    </cfRule>
  </conditionalFormatting>
  <conditionalFormatting sqref="G24:G26">
    <cfRule type="cellIs" dxfId="233" priority="35" stopIfTrue="1" operator="lessThan">
      <formula>0</formula>
    </cfRule>
  </conditionalFormatting>
  <conditionalFormatting sqref="E19">
    <cfRule type="cellIs" dxfId="232" priority="16" stopIfTrue="1" operator="greaterThanOrEqual">
      <formula>0.27</formula>
    </cfRule>
    <cfRule type="cellIs" dxfId="231" priority="17" stopIfTrue="1" operator="between">
      <formula>0.23</formula>
      <formula>0.25</formula>
    </cfRule>
    <cfRule type="cellIs" dxfId="230" priority="18" stopIfTrue="1" operator="lessThan">
      <formula>0.2</formula>
    </cfRule>
    <cfRule type="cellIs" dxfId="229" priority="26" stopIfTrue="1" operator="between">
      <formula>0.2</formula>
      <formula>0.2299</formula>
    </cfRule>
  </conditionalFormatting>
  <conditionalFormatting sqref="E15">
    <cfRule type="cellIs" dxfId="228" priority="25" stopIfTrue="1" operator="between">
      <formula>0.3</formula>
      <formula>0.32</formula>
    </cfRule>
  </conditionalFormatting>
  <conditionalFormatting sqref="E10">
    <cfRule type="cellIs" dxfId="227" priority="22" stopIfTrue="1" operator="greaterThan">
      <formula>0.1</formula>
    </cfRule>
    <cfRule type="cellIs" dxfId="226" priority="23" stopIfTrue="1" operator="greaterThan">
      <formula>0.07</formula>
    </cfRule>
    <cfRule type="cellIs" dxfId="225" priority="24" stopIfTrue="1" operator="greaterThan">
      <formula>0.02</formula>
    </cfRule>
  </conditionalFormatting>
  <conditionalFormatting sqref="E15">
    <cfRule type="cellIs" dxfId="224" priority="19" stopIfTrue="1" operator="greaterThanOrEqual">
      <formula>0.32</formula>
    </cfRule>
    <cfRule type="cellIs" dxfId="223" priority="20" stopIfTrue="1" operator="between">
      <formula>0.27</formula>
      <formula>0.3</formula>
    </cfRule>
    <cfRule type="cellIs" dxfId="222" priority="21" stopIfTrue="1" operator="lessThanOrEqual">
      <formula>0.27</formula>
    </cfRule>
  </conditionalFormatting>
  <conditionalFormatting sqref="E24">
    <cfRule type="cellIs" dxfId="221" priority="15" stopIfTrue="1" operator="greaterThan">
      <formula>10</formula>
    </cfRule>
  </conditionalFormatting>
  <conditionalFormatting sqref="B27:D27 E26">
    <cfRule type="cellIs" dxfId="220" priority="14" stopIfTrue="1" operator="lessThan">
      <formula>0</formula>
    </cfRule>
  </conditionalFormatting>
  <conditionalFormatting sqref="E10">
    <cfRule type="cellIs" dxfId="219" priority="13" stopIfTrue="1" operator="lessThanOrEqual">
      <formula>0.02</formula>
    </cfRule>
  </conditionalFormatting>
  <conditionalFormatting sqref="E11:E12 E16 E20">
    <cfRule type="cellIs" dxfId="218" priority="9" stopIfTrue="1" operator="equal">
      <formula>"F"</formula>
    </cfRule>
    <cfRule type="cellIs" dxfId="217" priority="10" stopIfTrue="1" operator="equal">
      <formula>"C"</formula>
    </cfRule>
    <cfRule type="cellIs" dxfId="216" priority="11" stopIfTrue="1" operator="equal">
      <formula>"B"</formula>
    </cfRule>
    <cfRule type="cellIs" dxfId="215" priority="12" stopIfTrue="1" operator="equal">
      <formula>"A"</formula>
    </cfRule>
  </conditionalFormatting>
  <conditionalFormatting sqref="E17">
    <cfRule type="cellIs" dxfId="214" priority="5" stopIfTrue="1" operator="equal">
      <formula>"F"</formula>
    </cfRule>
    <cfRule type="cellIs" dxfId="213" priority="6" stopIfTrue="1" operator="equal">
      <formula>"C"</formula>
    </cfRule>
    <cfRule type="cellIs" dxfId="212" priority="7" stopIfTrue="1" operator="equal">
      <formula>"B"</formula>
    </cfRule>
    <cfRule type="cellIs" dxfId="211" priority="8" stopIfTrue="1" operator="equal">
      <formula>"A"</formula>
    </cfRule>
  </conditionalFormatting>
  <conditionalFormatting sqref="E21:E22">
    <cfRule type="cellIs" dxfId="210" priority="1" stopIfTrue="1" operator="equal">
      <formula>"F"</formula>
    </cfRule>
    <cfRule type="cellIs" dxfId="209" priority="2" stopIfTrue="1" operator="equal">
      <formula>"C"</formula>
    </cfRule>
    <cfRule type="cellIs" dxfId="208" priority="3" stopIfTrue="1" operator="equal">
      <formula>"B"</formula>
    </cfRule>
    <cfRule type="cellIs" dxfId="207" priority="4" stopIfTrue="1" operator="equal">
      <formula>"A"</formula>
    </cfRule>
  </conditionalFormatting>
  <pageMargins left="0.7" right="0.7" top="0.75" bottom="0.75" header="0.3" footer="0.3"/>
  <pageSetup scale="63" orientation="portrait" horizontalDpi="0" verticalDpi="0" r:id="rId1"/>
  <colBreaks count="1" manualBreakCount="1">
    <brk id="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B6" sqref="B6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87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/>
      <c r="C5" s="115"/>
      <c r="D5" s="115"/>
      <c r="E5" s="114"/>
      <c r="F5" s="114"/>
      <c r="G5" s="116">
        <f>SUM(B5:F5)</f>
        <v>0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/>
      <c r="C6" s="347">
        <f>B6+7</f>
        <v>7</v>
      </c>
      <c r="D6" s="347">
        <f>C6+7</f>
        <v>14</v>
      </c>
      <c r="E6" s="347">
        <f>D6+7</f>
        <v>21</v>
      </c>
      <c r="F6" s="347">
        <f>E6+7</f>
        <v>28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/>
      <c r="C7" s="115"/>
      <c r="D7" s="115"/>
      <c r="E7" s="114"/>
      <c r="F7" s="114"/>
      <c r="G7" s="116">
        <f>SUM(B7:F7)</f>
        <v>0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/>
      <c r="C8" s="121"/>
      <c r="D8" s="115"/>
      <c r="E8" s="115"/>
      <c r="F8" s="120"/>
      <c r="G8" s="116">
        <f>SUM(B8:F8)</f>
        <v>0</v>
      </c>
      <c r="H8" s="255">
        <f>SUM(G8*0.03)</f>
        <v>0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0</v>
      </c>
      <c r="C9" s="296">
        <f>SUM(C7-C8)</f>
        <v>0</v>
      </c>
      <c r="D9" s="296">
        <f t="shared" ref="D9:F9" si="0">SUM(D7-D8)</f>
        <v>0</v>
      </c>
      <c r="E9" s="296">
        <f t="shared" si="0"/>
        <v>0</v>
      </c>
      <c r="F9" s="296">
        <f t="shared" si="0"/>
        <v>0</v>
      </c>
      <c r="G9" s="307">
        <f>SUM(G7-G8)</f>
        <v>0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 t="e">
        <f>(B7-B5)/B5</f>
        <v>#DIV/0!</v>
      </c>
      <c r="C10" s="128" t="e">
        <f t="shared" ref="C10:F10" si="1">(C7-C5)/C5</f>
        <v>#DIV/0!</v>
      </c>
      <c r="D10" s="128" t="e">
        <f t="shared" si="1"/>
        <v>#DIV/0!</v>
      </c>
      <c r="E10" s="128" t="e">
        <f t="shared" si="1"/>
        <v>#DIV/0!</v>
      </c>
      <c r="F10" s="128" t="e">
        <f t="shared" si="1"/>
        <v>#DIV/0!</v>
      </c>
      <c r="G10" s="129" t="e">
        <f>(G7-G5)/G5</f>
        <v>#DIV/0!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e">
        <f>IF(B10&gt;=10%,"A",IF(B10&gt;=7%,"B",IF(B10&gt;2%,"C",IF(B10&lt;2%,"F",))))</f>
        <v>#DIV/0!</v>
      </c>
      <c r="C11" s="308" t="e">
        <f t="shared" ref="C11:F11" si="2">IF(C10&gt;=10%,"A",IF(C10&gt;=7%,"B",IF(C10&gt;2%,"C",IF(C10&lt;2%,"F",))))</f>
        <v>#DIV/0!</v>
      </c>
      <c r="D11" s="308" t="e">
        <f t="shared" si="2"/>
        <v>#DIV/0!</v>
      </c>
      <c r="E11" s="308" t="e">
        <f t="shared" si="2"/>
        <v>#DIV/0!</v>
      </c>
      <c r="F11" s="308" t="e">
        <f t="shared" si="2"/>
        <v>#DIV/0!</v>
      </c>
      <c r="G11" s="130" t="e">
        <f>IF(G10&gt;=10%,"A",IF(G10&gt;=7%,"B",IF(G10&gt;2%,"C",IF(G10&lt;2%,"F",))))</f>
        <v>#DIV/0!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 t="e">
        <f>LOOKUP(G11,J9:K12)</f>
        <v>#DIV/0!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/>
      <c r="C13" s="115"/>
      <c r="D13" s="115"/>
      <c r="E13" s="115"/>
      <c r="F13" s="120"/>
      <c r="G13" s="116">
        <f>SUM(B13:F13)+G14</f>
        <v>0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/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 t="e">
        <f>SUM(B13/B7)</f>
        <v>#DIV/0!</v>
      </c>
      <c r="C15" s="129" t="e">
        <f t="shared" ref="C15:F15" si="3">SUM(C13/C7)</f>
        <v>#DIV/0!</v>
      </c>
      <c r="D15" s="129" t="e">
        <f t="shared" si="3"/>
        <v>#DIV/0!</v>
      </c>
      <c r="E15" s="129" t="e">
        <f t="shared" si="3"/>
        <v>#DIV/0!</v>
      </c>
      <c r="F15" s="129" t="e">
        <f t="shared" si="3"/>
        <v>#DIV/0!</v>
      </c>
      <c r="G15" s="129" t="e">
        <f>SUM(G13/G7)</f>
        <v>#DIV/0!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e">
        <f>IF(B15&lt;=27%,"A",IF(B15&lt;=30%,"B",IF(B15&lt;32%,"C",IF(B15&gt;=32%,"F",))))</f>
        <v>#DIV/0!</v>
      </c>
      <c r="C16" s="308" t="e">
        <f t="shared" ref="C16:F16" si="4">IF(C15&lt;=27%,"A",IF(C15&lt;=30%,"B",IF(C15&lt;32%,"C",IF(C15&gt;=32%,"F",))))</f>
        <v>#DIV/0!</v>
      </c>
      <c r="D16" s="308" t="e">
        <f t="shared" si="4"/>
        <v>#DIV/0!</v>
      </c>
      <c r="E16" s="308" t="e">
        <f t="shared" si="4"/>
        <v>#DIV/0!</v>
      </c>
      <c r="F16" s="308" t="e">
        <f t="shared" si="4"/>
        <v>#DIV/0!</v>
      </c>
      <c r="G16" s="130" t="e">
        <f>IF(G15&lt;=27%,"A",IF(G15&lt;=30%,"B",IF(G15&lt;=32%,"C",IF(G15&gt;32%,"F",))))</f>
        <v>#DIV/0!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 t="e">
        <f>LOOKUP(G16,J9:K12)</f>
        <v>#DIV/0!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/>
      <c r="C18" s="115"/>
      <c r="D18" s="115"/>
      <c r="E18" s="115"/>
      <c r="F18" s="115"/>
      <c r="G18" s="116">
        <f>SUM(B18:F18)</f>
        <v>0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 t="e">
        <f>SUM(B18/B7)</f>
        <v>#DIV/0!</v>
      </c>
      <c r="C19" s="129" t="e">
        <f t="shared" ref="C19:F19" si="5">SUM(C18/C7)</f>
        <v>#DIV/0!</v>
      </c>
      <c r="D19" s="129" t="e">
        <f t="shared" si="5"/>
        <v>#DIV/0!</v>
      </c>
      <c r="E19" s="129" t="e">
        <f t="shared" si="5"/>
        <v>#DIV/0!</v>
      </c>
      <c r="F19" s="129" t="e">
        <f t="shared" si="5"/>
        <v>#DIV/0!</v>
      </c>
      <c r="G19" s="129" t="e">
        <f>SUM(G18/G7)</f>
        <v>#DIV/0!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e">
        <f>IF(B19&lt;=20%,"A",IF(B19&lt;=23%,"B",IF(B19&lt;25%,"C",IF(B19&gt;=25%,"F",))))</f>
        <v>#DIV/0!</v>
      </c>
      <c r="C20" s="308" t="e">
        <f>IF(C19&lt;=20%,"A",IF(C19&lt;=23%,"B",IF(C19&lt;25%,"C",IF(C19&gt;=25%,"F",IF))))</f>
        <v>#DIV/0!</v>
      </c>
      <c r="D20" s="308" t="e">
        <f>IF(D19&lt;=20%,"A",IF(D19&lt;=23%,"B",IF(D19&lt;25%,"C",IF(D19&gt;=25%,"F",IF))))</f>
        <v>#DIV/0!</v>
      </c>
      <c r="E20" s="308" t="e">
        <f>IF(E19&lt;=20%,"A",IF(E19&lt;=23%,"B",IF(E19&lt;25%,"C",IF(E19&gt;=25%,"F",IF))))</f>
        <v>#DIV/0!</v>
      </c>
      <c r="F20" s="308" t="e">
        <f>IF(F19&lt;=20%,"A",IF(F19&lt;=23%,"B",IF(F19&lt;25%,"C",IF(F19&gt;=25%,"F",IF))))</f>
        <v>#DIV/0!</v>
      </c>
      <c r="G20" s="130" t="e">
        <f>IF(G19&lt;=20%,"A",IF(G19&lt;=23%,"B",IF(G19&lt;=25%,"C",IF(G19&gt;25%,"F",IF))))</f>
        <v>#DIV/0!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 t="e">
        <f>LOOKUP(G20,J9:K12)</f>
        <v>#DIV/0!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/>
      <c r="C22" s="295"/>
      <c r="D22" s="295"/>
      <c r="E22" s="295"/>
      <c r="F22" s="327"/>
      <c r="G22" s="312" t="e">
        <f>AVERAGE(B22:F22)</f>
        <v>#DIV/0!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/>
      <c r="C23" s="295"/>
      <c r="D23" s="295"/>
      <c r="E23" s="295"/>
      <c r="F23" s="295"/>
      <c r="G23" s="352" t="e">
        <f>AVERAGE(B23:F23)</f>
        <v>#DIV/0!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0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e">
        <f t="shared" si="6"/>
        <v>#DIV/0!</v>
      </c>
      <c r="H24" s="149" t="e">
        <f>SUM(+G12+G17+G21)</f>
        <v>#DIV/0!</v>
      </c>
      <c r="I24" s="150" t="s">
        <v>2</v>
      </c>
      <c r="J24" s="151" t="e">
        <f>SUM(H26*1.5)</f>
        <v>#DIV/0!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/>
      <c r="C25" s="115"/>
      <c r="D25" s="115"/>
      <c r="E25" s="115"/>
      <c r="F25" s="115"/>
      <c r="G25" s="307">
        <f>SUM(B25:F25)</f>
        <v>0</v>
      </c>
      <c r="H25" s="149" t="e">
        <f>SUM(G24+G26)</f>
        <v>#DIV/0!</v>
      </c>
      <c r="I25" s="152" t="s">
        <v>3</v>
      </c>
      <c r="J25" s="153" t="e">
        <f>SUM(H26*1.25)</f>
        <v>#DIV/0!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 t="e">
        <f>SUM(+H8+H24+H25)</f>
        <v>#DIV/0!</v>
      </c>
      <c r="I26" s="150" t="s">
        <v>4</v>
      </c>
      <c r="J26" s="249" t="e">
        <f>SUM(H26*1)</f>
        <v>#DIV/0!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 t="e">
        <f>LOOKUP(H9,I24:J26)</f>
        <v>#DIV/0!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 t="e">
        <f>SUM(G29*0.66)</f>
        <v>#DIV/0!</v>
      </c>
      <c r="D29" s="162"/>
      <c r="E29" s="162"/>
      <c r="F29" s="162"/>
      <c r="G29" s="163" t="e">
        <f>IF(E3="FAIL","$0.00",IF(G20="F","$0.00",IF(G16="F","$0.00",IF(E3="PASS",G27,))))</f>
        <v>#DIV/0!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 t="e">
        <f>SUM(G29*0.33)</f>
        <v>#DIV/0!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TP4SYxPEAXBA5NFRJM8btEKyUmG7ae+WtApKKj7RJkJ4IGYmMj4pZu2qO+ioUgEKPiQGezVElaBGwtfrkZDOQg==" saltValue="VZBapPsz3+8+xtyQZj8Hvw==" spinCount="100000" sheet="1" objects="1" scenarios="1"/>
  <conditionalFormatting sqref="H24">
    <cfRule type="cellIs" dxfId="206" priority="65" stopIfTrue="1" operator="lessThan">
      <formula>0</formula>
    </cfRule>
  </conditionalFormatting>
  <conditionalFormatting sqref="I24:I26">
    <cfRule type="cellIs" dxfId="205" priority="56" stopIfTrue="1" operator="lessThan">
      <formula>0</formula>
    </cfRule>
  </conditionalFormatting>
  <conditionalFormatting sqref="E3">
    <cfRule type="containsText" dxfId="204" priority="54" stopIfTrue="1" operator="containsText" text="PASS">
      <formula>NOT(ISERROR(SEARCH("PASS",E3)))</formula>
    </cfRule>
    <cfRule type="containsText" dxfId="203" priority="55" stopIfTrue="1" operator="containsText" text="FAIL">
      <formula>NOT(ISERROR(SEARCH("FAIL",E3)))</formula>
    </cfRule>
  </conditionalFormatting>
  <conditionalFormatting sqref="B19:G19">
    <cfRule type="cellIs" dxfId="202" priority="43" stopIfTrue="1" operator="greaterThanOrEqual">
      <formula>0.27</formula>
    </cfRule>
    <cfRule type="cellIs" dxfId="201" priority="44" stopIfTrue="1" operator="between">
      <formula>0.23</formula>
      <formula>0.25</formula>
    </cfRule>
    <cfRule type="cellIs" dxfId="200" priority="45" stopIfTrue="1" operator="lessThan">
      <formula>0.2</formula>
    </cfRule>
    <cfRule type="cellIs" dxfId="199" priority="53" stopIfTrue="1" operator="between">
      <formula>0.2</formula>
      <formula>0.2299</formula>
    </cfRule>
  </conditionalFormatting>
  <conditionalFormatting sqref="B15:G15">
    <cfRule type="cellIs" dxfId="198" priority="52" stopIfTrue="1" operator="between">
      <formula>0.3</formula>
      <formula>0.32</formula>
    </cfRule>
  </conditionalFormatting>
  <conditionalFormatting sqref="B10:G10">
    <cfRule type="cellIs" dxfId="197" priority="49" stopIfTrue="1" operator="greaterThan">
      <formula>0.1</formula>
    </cfRule>
    <cfRule type="cellIs" dxfId="196" priority="50" stopIfTrue="1" operator="greaterThan">
      <formula>0.07</formula>
    </cfRule>
    <cfRule type="cellIs" dxfId="195" priority="51" stopIfTrue="1" operator="greaterThan">
      <formula>0.02</formula>
    </cfRule>
  </conditionalFormatting>
  <conditionalFormatting sqref="B15:G15">
    <cfRule type="cellIs" dxfId="194" priority="46" stopIfTrue="1" operator="greaterThanOrEqual">
      <formula>0.32</formula>
    </cfRule>
    <cfRule type="cellIs" dxfId="193" priority="47" stopIfTrue="1" operator="between">
      <formula>0.27</formula>
      <formula>0.3</formula>
    </cfRule>
    <cfRule type="cellIs" dxfId="192" priority="48" stopIfTrue="1" operator="lessThanOrEqual">
      <formula>0.27</formula>
    </cfRule>
  </conditionalFormatting>
  <conditionalFormatting sqref="B26:G26 B28:G28 B27:F27">
    <cfRule type="cellIs" dxfId="191" priority="41" stopIfTrue="1" operator="lessThan">
      <formula>0</formula>
    </cfRule>
  </conditionalFormatting>
  <conditionalFormatting sqref="B10:G10">
    <cfRule type="cellIs" dxfId="190" priority="40" stopIfTrue="1" operator="lessThanOrEqual">
      <formula>0.02</formula>
    </cfRule>
  </conditionalFormatting>
  <conditionalFormatting sqref="B11:G12">
    <cfRule type="cellIs" dxfId="189" priority="36" stopIfTrue="1" operator="equal">
      <formula>"F"</formula>
    </cfRule>
    <cfRule type="cellIs" dxfId="188" priority="37" stopIfTrue="1" operator="equal">
      <formula>"C"</formula>
    </cfRule>
    <cfRule type="cellIs" dxfId="187" priority="38" stopIfTrue="1" operator="equal">
      <formula>"B"</formula>
    </cfRule>
    <cfRule type="cellIs" dxfId="186" priority="39" stopIfTrue="1" operator="equal">
      <formula>"A"</formula>
    </cfRule>
  </conditionalFormatting>
  <conditionalFormatting sqref="B16:G16 F17">
    <cfRule type="cellIs" dxfId="185" priority="32" stopIfTrue="1" operator="equal">
      <formula>"F"</formula>
    </cfRule>
    <cfRule type="cellIs" dxfId="184" priority="33" stopIfTrue="1" operator="equal">
      <formula>"C"</formula>
    </cfRule>
    <cfRule type="cellIs" dxfId="183" priority="34" stopIfTrue="1" operator="equal">
      <formula>"B"</formula>
    </cfRule>
    <cfRule type="cellIs" dxfId="182" priority="35" stopIfTrue="1" operator="equal">
      <formula>"A"</formula>
    </cfRule>
  </conditionalFormatting>
  <conditionalFormatting sqref="B20:G20 B21:F21">
    <cfRule type="cellIs" dxfId="181" priority="28" stopIfTrue="1" operator="equal">
      <formula>"F"</formula>
    </cfRule>
    <cfRule type="cellIs" dxfId="180" priority="29" stopIfTrue="1" operator="equal">
      <formula>"C"</formula>
    </cfRule>
    <cfRule type="cellIs" dxfId="179" priority="30" stopIfTrue="1" operator="equal">
      <formula>"B"</formula>
    </cfRule>
    <cfRule type="cellIs" dxfId="178" priority="31" stopIfTrue="1" operator="equal">
      <formula>"A"</formula>
    </cfRule>
  </conditionalFormatting>
  <conditionalFormatting sqref="G17">
    <cfRule type="cellIs" dxfId="177" priority="24" stopIfTrue="1" operator="equal">
      <formula>"F"</formula>
    </cfRule>
    <cfRule type="cellIs" dxfId="176" priority="25" stopIfTrue="1" operator="equal">
      <formula>"C"</formula>
    </cfRule>
    <cfRule type="cellIs" dxfId="175" priority="26" stopIfTrue="1" operator="equal">
      <formula>"B"</formula>
    </cfRule>
    <cfRule type="cellIs" dxfId="174" priority="27" stopIfTrue="1" operator="equal">
      <formula>"A"</formula>
    </cfRule>
  </conditionalFormatting>
  <conditionalFormatting sqref="G21">
    <cfRule type="cellIs" dxfId="173" priority="20" stopIfTrue="1" operator="equal">
      <formula>"F"</formula>
    </cfRule>
    <cfRule type="cellIs" dxfId="172" priority="21" stopIfTrue="1" operator="equal">
      <formula>"C"</formula>
    </cfRule>
    <cfRule type="cellIs" dxfId="171" priority="22" stopIfTrue="1" operator="equal">
      <formula>"B"</formula>
    </cfRule>
    <cfRule type="cellIs" dxfId="170" priority="23" stopIfTrue="1" operator="equal">
      <formula>"A"</formula>
    </cfRule>
  </conditionalFormatting>
  <conditionalFormatting sqref="B24:G24">
    <cfRule type="cellIs" dxfId="169" priority="15" stopIfTrue="1" operator="greaterThan">
      <formula>10</formula>
    </cfRule>
  </conditionalFormatting>
  <conditionalFormatting sqref="B22:F22">
    <cfRule type="cellIs" dxfId="168" priority="11" stopIfTrue="1" operator="equal">
      <formula>"F"</formula>
    </cfRule>
    <cfRule type="cellIs" dxfId="167" priority="12" stopIfTrue="1" operator="equal">
      <formula>"C"</formula>
    </cfRule>
    <cfRule type="cellIs" dxfId="166" priority="13" stopIfTrue="1" operator="equal">
      <formula>"B"</formula>
    </cfRule>
    <cfRule type="cellIs" dxfId="165" priority="14" stopIfTrue="1" operator="equal">
      <formula>"A"</formula>
    </cfRule>
  </conditionalFormatting>
  <conditionalFormatting sqref="G22">
    <cfRule type="cellIs" dxfId="164" priority="7" stopIfTrue="1" operator="equal">
      <formula>"F"</formula>
    </cfRule>
    <cfRule type="cellIs" dxfId="163" priority="8" stopIfTrue="1" operator="equal">
      <formula>"C"</formula>
    </cfRule>
    <cfRule type="cellIs" dxfId="162" priority="9" stopIfTrue="1" operator="equal">
      <formula>"B"</formula>
    </cfRule>
    <cfRule type="cellIs" dxfId="161" priority="10" stopIfTrue="1" operator="equal">
      <formula>"A"</formula>
    </cfRule>
  </conditionalFormatting>
  <conditionalFormatting sqref="B23:F23">
    <cfRule type="cellIs" dxfId="160" priority="5" operator="lessThanOrEqual">
      <formula>$B$22</formula>
    </cfRule>
    <cfRule type="cellIs" dxfId="159" priority="6" operator="greaterThanOrEqual">
      <formula>$B$22</formula>
    </cfRule>
  </conditionalFormatting>
  <conditionalFormatting sqref="G23">
    <cfRule type="cellIs" dxfId="158" priority="1" operator="lessThanOrEqual">
      <formula>$B$22</formula>
    </cfRule>
    <cfRule type="cellIs" dxfId="157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B6" sqref="B6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86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/>
      <c r="C5" s="115"/>
      <c r="D5" s="115"/>
      <c r="E5" s="114"/>
      <c r="F5" s="114"/>
      <c r="G5" s="116">
        <f>SUM(B5:F5)</f>
        <v>0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/>
      <c r="C6" s="347">
        <f>B6+7</f>
        <v>7</v>
      </c>
      <c r="D6" s="347">
        <f>C6+7</f>
        <v>14</v>
      </c>
      <c r="E6" s="347">
        <f>D6+7</f>
        <v>21</v>
      </c>
      <c r="F6" s="347">
        <f>E6+7</f>
        <v>28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/>
      <c r="C7" s="115"/>
      <c r="D7" s="115"/>
      <c r="E7" s="114"/>
      <c r="F7" s="114"/>
      <c r="G7" s="116">
        <f>SUM(B7:F7)</f>
        <v>0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/>
      <c r="C8" s="121"/>
      <c r="D8" s="115"/>
      <c r="E8" s="115"/>
      <c r="F8" s="120"/>
      <c r="G8" s="116">
        <f>SUM(B8:F8)</f>
        <v>0</v>
      </c>
      <c r="H8" s="255">
        <f>SUM(G8*0.03)</f>
        <v>0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0</v>
      </c>
      <c r="C9" s="296">
        <f>SUM(C7-C8)</f>
        <v>0</v>
      </c>
      <c r="D9" s="296">
        <f t="shared" ref="D9:F9" si="0">SUM(D7-D8)</f>
        <v>0</v>
      </c>
      <c r="E9" s="296">
        <f t="shared" si="0"/>
        <v>0</v>
      </c>
      <c r="F9" s="296">
        <f t="shared" si="0"/>
        <v>0</v>
      </c>
      <c r="G9" s="307">
        <f>SUM(G7-G8)</f>
        <v>0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 t="e">
        <f>(B7-B5)/B5</f>
        <v>#DIV/0!</v>
      </c>
      <c r="C10" s="128" t="e">
        <f t="shared" ref="C10:F10" si="1">(C7-C5)/C5</f>
        <v>#DIV/0!</v>
      </c>
      <c r="D10" s="128" t="e">
        <f t="shared" si="1"/>
        <v>#DIV/0!</v>
      </c>
      <c r="E10" s="128" t="e">
        <f t="shared" si="1"/>
        <v>#DIV/0!</v>
      </c>
      <c r="F10" s="128" t="e">
        <f t="shared" si="1"/>
        <v>#DIV/0!</v>
      </c>
      <c r="G10" s="129" t="e">
        <f>(G7-G5)/G5</f>
        <v>#DIV/0!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e">
        <f>IF(B10&gt;=10%,"A",IF(B10&gt;=7%,"B",IF(B10&gt;2%,"C",IF(B10&lt;2%,"F",))))</f>
        <v>#DIV/0!</v>
      </c>
      <c r="C11" s="308" t="e">
        <f t="shared" ref="C11:F11" si="2">IF(C10&gt;=10%,"A",IF(C10&gt;=7%,"B",IF(C10&gt;2%,"C",IF(C10&lt;2%,"F",))))</f>
        <v>#DIV/0!</v>
      </c>
      <c r="D11" s="308" t="e">
        <f t="shared" si="2"/>
        <v>#DIV/0!</v>
      </c>
      <c r="E11" s="308" t="e">
        <f t="shared" si="2"/>
        <v>#DIV/0!</v>
      </c>
      <c r="F11" s="308" t="e">
        <f t="shared" si="2"/>
        <v>#DIV/0!</v>
      </c>
      <c r="G11" s="130" t="e">
        <f>IF(G10&gt;=10%,"A",IF(G10&gt;=7%,"B",IF(G10&gt;2%,"C",IF(G10&lt;2%,"F",))))</f>
        <v>#DIV/0!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 t="e">
        <f>LOOKUP(G11,J9:K12)</f>
        <v>#DIV/0!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/>
      <c r="C13" s="115"/>
      <c r="D13" s="115"/>
      <c r="E13" s="115"/>
      <c r="F13" s="120"/>
      <c r="G13" s="116">
        <f>SUM(B13:F13)+G14</f>
        <v>0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/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 t="e">
        <f>SUM(B13/B7)</f>
        <v>#DIV/0!</v>
      </c>
      <c r="C15" s="129" t="e">
        <f t="shared" ref="C15:F15" si="3">SUM(C13/C7)</f>
        <v>#DIV/0!</v>
      </c>
      <c r="D15" s="129" t="e">
        <f t="shared" si="3"/>
        <v>#DIV/0!</v>
      </c>
      <c r="E15" s="129" t="e">
        <f t="shared" si="3"/>
        <v>#DIV/0!</v>
      </c>
      <c r="F15" s="129" t="e">
        <f t="shared" si="3"/>
        <v>#DIV/0!</v>
      </c>
      <c r="G15" s="129" t="e">
        <f>SUM(G13/G7)</f>
        <v>#DIV/0!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e">
        <f>IF(B15&lt;=27%,"A",IF(B15&lt;=30%,"B",IF(B15&lt;32%,"C",IF(B15&gt;=32%,"F",))))</f>
        <v>#DIV/0!</v>
      </c>
      <c r="C16" s="308" t="e">
        <f t="shared" ref="C16:F16" si="4">IF(C15&lt;=27%,"A",IF(C15&lt;=30%,"B",IF(C15&lt;32%,"C",IF(C15&gt;=32%,"F",))))</f>
        <v>#DIV/0!</v>
      </c>
      <c r="D16" s="308" t="e">
        <f t="shared" si="4"/>
        <v>#DIV/0!</v>
      </c>
      <c r="E16" s="308" t="e">
        <f t="shared" si="4"/>
        <v>#DIV/0!</v>
      </c>
      <c r="F16" s="308" t="e">
        <f t="shared" si="4"/>
        <v>#DIV/0!</v>
      </c>
      <c r="G16" s="130" t="e">
        <f>IF(G15&lt;=27%,"A",IF(G15&lt;=30%,"B",IF(G15&lt;=32%,"C",IF(G15&gt;32%,"F",))))</f>
        <v>#DIV/0!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 t="e">
        <f>LOOKUP(G16,J9:K12)</f>
        <v>#DIV/0!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/>
      <c r="C18" s="115"/>
      <c r="D18" s="115"/>
      <c r="E18" s="115"/>
      <c r="F18" s="115"/>
      <c r="G18" s="116">
        <f>SUM(B18:F18)</f>
        <v>0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 t="e">
        <f>SUM(B18/B7)</f>
        <v>#DIV/0!</v>
      </c>
      <c r="C19" s="129" t="e">
        <f t="shared" ref="C19:F19" si="5">SUM(C18/C7)</f>
        <v>#DIV/0!</v>
      </c>
      <c r="D19" s="129" t="e">
        <f t="shared" si="5"/>
        <v>#DIV/0!</v>
      </c>
      <c r="E19" s="129" t="e">
        <f t="shared" si="5"/>
        <v>#DIV/0!</v>
      </c>
      <c r="F19" s="129" t="e">
        <f t="shared" si="5"/>
        <v>#DIV/0!</v>
      </c>
      <c r="G19" s="129" t="e">
        <f>SUM(G18/G7)</f>
        <v>#DIV/0!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e">
        <f>IF(B19&lt;=20%,"A",IF(B19&lt;=23%,"B",IF(B19&lt;25%,"C",IF(B19&gt;=25%,"F",))))</f>
        <v>#DIV/0!</v>
      </c>
      <c r="C20" s="308" t="e">
        <f>IF(C19&lt;=20%,"A",IF(C19&lt;=23%,"B",IF(C19&lt;25%,"C",IF(C19&gt;=25%,"F",IF))))</f>
        <v>#DIV/0!</v>
      </c>
      <c r="D20" s="308" t="e">
        <f>IF(D19&lt;=20%,"A",IF(D19&lt;=23%,"B",IF(D19&lt;25%,"C",IF(D19&gt;=25%,"F",IF))))</f>
        <v>#DIV/0!</v>
      </c>
      <c r="E20" s="308" t="e">
        <f>IF(E19&lt;=20%,"A",IF(E19&lt;=23%,"B",IF(E19&lt;25%,"C",IF(E19&gt;=25%,"F",IF))))</f>
        <v>#DIV/0!</v>
      </c>
      <c r="F20" s="308" t="e">
        <f>IF(F19&lt;=20%,"A",IF(F19&lt;=23%,"B",IF(F19&lt;25%,"C",IF(F19&gt;=25%,"F",IF))))</f>
        <v>#DIV/0!</v>
      </c>
      <c r="G20" s="130" t="e">
        <f>IF(G19&lt;=20%,"A",IF(G19&lt;=23%,"B",IF(G19&lt;=25%,"C",IF(G19&gt;25%,"F",IF))))</f>
        <v>#DIV/0!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 t="e">
        <f>LOOKUP(G20,J9:K12)</f>
        <v>#DIV/0!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/>
      <c r="C22" s="295"/>
      <c r="D22" s="295"/>
      <c r="E22" s="295"/>
      <c r="F22" s="327"/>
      <c r="G22" s="312" t="e">
        <f>AVERAGE(B22:F22)</f>
        <v>#DIV/0!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/>
      <c r="C23" s="295"/>
      <c r="D23" s="295"/>
      <c r="E23" s="295"/>
      <c r="F23" s="295"/>
      <c r="G23" s="352" t="e">
        <f>AVERAGE(B23:F23)</f>
        <v>#DIV/0!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0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e">
        <f t="shared" si="6"/>
        <v>#DIV/0!</v>
      </c>
      <c r="H24" s="149" t="e">
        <f>SUM(+G12+G17+G21)</f>
        <v>#DIV/0!</v>
      </c>
      <c r="I24" s="150" t="s">
        <v>2</v>
      </c>
      <c r="J24" s="151" t="e">
        <f>SUM(H26*1.5)</f>
        <v>#DIV/0!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/>
      <c r="C25" s="115"/>
      <c r="D25" s="115"/>
      <c r="E25" s="115"/>
      <c r="F25" s="115"/>
      <c r="G25" s="307">
        <f>SUM(B25:F25)</f>
        <v>0</v>
      </c>
      <c r="H25" s="149" t="e">
        <f>SUM(G24+G26)</f>
        <v>#DIV/0!</v>
      </c>
      <c r="I25" s="152" t="s">
        <v>3</v>
      </c>
      <c r="J25" s="153" t="e">
        <f>SUM(H26*1.25)</f>
        <v>#DIV/0!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 t="e">
        <f>SUM(+H8+H24+H25)</f>
        <v>#DIV/0!</v>
      </c>
      <c r="I26" s="150" t="s">
        <v>4</v>
      </c>
      <c r="J26" s="249" t="e">
        <f>SUM(H26*1)</f>
        <v>#DIV/0!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 t="e">
        <f>LOOKUP(H9,I24:J26)</f>
        <v>#DIV/0!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 t="e">
        <f>SUM(G29*0.66)</f>
        <v>#DIV/0!</v>
      </c>
      <c r="D29" s="162"/>
      <c r="E29" s="162"/>
      <c r="F29" s="162"/>
      <c r="G29" s="163" t="e">
        <f>IF(E3="FAIL","$0.00",IF(G20="F","$0.00",IF(G16="F","$0.00",IF(E3="PASS",G27,))))</f>
        <v>#DIV/0!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 t="e">
        <f>SUM(G29*0.33)</f>
        <v>#DIV/0!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QVbwU9/2Twaa3fyYS9m1oiDjearjbgbQLBMmYpzkArxWUL7R81PXVjJ7xsyPbUwRtloZ0iLrBhPl8ojEXN/Vgg==" saltValue="ayfEoqJHYzGyMYKmzoGORw==" spinCount="100000" sheet="1" objects="1" scenarios="1"/>
  <conditionalFormatting sqref="H24">
    <cfRule type="cellIs" dxfId="156" priority="65" stopIfTrue="1" operator="lessThan">
      <formula>0</formula>
    </cfRule>
  </conditionalFormatting>
  <conditionalFormatting sqref="I24:I26">
    <cfRule type="cellIs" dxfId="155" priority="56" stopIfTrue="1" operator="lessThan">
      <formula>0</formula>
    </cfRule>
  </conditionalFormatting>
  <conditionalFormatting sqref="E3">
    <cfRule type="containsText" dxfId="154" priority="54" stopIfTrue="1" operator="containsText" text="PASS">
      <formula>NOT(ISERROR(SEARCH("PASS",E3)))</formula>
    </cfRule>
    <cfRule type="containsText" dxfId="153" priority="55" stopIfTrue="1" operator="containsText" text="FAIL">
      <formula>NOT(ISERROR(SEARCH("FAIL",E3)))</formula>
    </cfRule>
  </conditionalFormatting>
  <conditionalFormatting sqref="B19:G19">
    <cfRule type="cellIs" dxfId="152" priority="43" stopIfTrue="1" operator="greaterThanOrEqual">
      <formula>0.27</formula>
    </cfRule>
    <cfRule type="cellIs" dxfId="151" priority="44" stopIfTrue="1" operator="between">
      <formula>0.23</formula>
      <formula>0.25</formula>
    </cfRule>
    <cfRule type="cellIs" dxfId="150" priority="45" stopIfTrue="1" operator="lessThan">
      <formula>0.2</formula>
    </cfRule>
    <cfRule type="cellIs" dxfId="149" priority="53" stopIfTrue="1" operator="between">
      <formula>0.2</formula>
      <formula>0.2299</formula>
    </cfRule>
  </conditionalFormatting>
  <conditionalFormatting sqref="B15:G15">
    <cfRule type="cellIs" dxfId="148" priority="52" stopIfTrue="1" operator="between">
      <formula>0.3</formula>
      <formula>0.32</formula>
    </cfRule>
  </conditionalFormatting>
  <conditionalFormatting sqref="B10:G10">
    <cfRule type="cellIs" dxfId="147" priority="49" stopIfTrue="1" operator="greaterThan">
      <formula>0.1</formula>
    </cfRule>
    <cfRule type="cellIs" dxfId="146" priority="50" stopIfTrue="1" operator="greaterThan">
      <formula>0.07</formula>
    </cfRule>
    <cfRule type="cellIs" dxfId="145" priority="51" stopIfTrue="1" operator="greaterThan">
      <formula>0.02</formula>
    </cfRule>
  </conditionalFormatting>
  <conditionalFormatting sqref="B15:G15">
    <cfRule type="cellIs" dxfId="144" priority="46" stopIfTrue="1" operator="greaterThanOrEqual">
      <formula>0.32</formula>
    </cfRule>
    <cfRule type="cellIs" dxfId="143" priority="47" stopIfTrue="1" operator="between">
      <formula>0.27</formula>
      <formula>0.3</formula>
    </cfRule>
    <cfRule type="cellIs" dxfId="142" priority="48" stopIfTrue="1" operator="lessThanOrEqual">
      <formula>0.27</formula>
    </cfRule>
  </conditionalFormatting>
  <conditionalFormatting sqref="B26:G26 B28:G28 B27:F27">
    <cfRule type="cellIs" dxfId="141" priority="41" stopIfTrue="1" operator="lessThan">
      <formula>0</formula>
    </cfRule>
  </conditionalFormatting>
  <conditionalFormatting sqref="B10:G10">
    <cfRule type="cellIs" dxfId="140" priority="40" stopIfTrue="1" operator="lessThanOrEqual">
      <formula>0.02</formula>
    </cfRule>
  </conditionalFormatting>
  <conditionalFormatting sqref="B11:G12">
    <cfRule type="cellIs" dxfId="139" priority="36" stopIfTrue="1" operator="equal">
      <formula>"F"</formula>
    </cfRule>
    <cfRule type="cellIs" dxfId="138" priority="37" stopIfTrue="1" operator="equal">
      <formula>"C"</formula>
    </cfRule>
    <cfRule type="cellIs" dxfId="137" priority="38" stopIfTrue="1" operator="equal">
      <formula>"B"</formula>
    </cfRule>
    <cfRule type="cellIs" dxfId="136" priority="39" stopIfTrue="1" operator="equal">
      <formula>"A"</formula>
    </cfRule>
  </conditionalFormatting>
  <conditionalFormatting sqref="B16:G16 F17">
    <cfRule type="cellIs" dxfId="135" priority="32" stopIfTrue="1" operator="equal">
      <formula>"F"</formula>
    </cfRule>
    <cfRule type="cellIs" dxfId="134" priority="33" stopIfTrue="1" operator="equal">
      <formula>"C"</formula>
    </cfRule>
    <cfRule type="cellIs" dxfId="133" priority="34" stopIfTrue="1" operator="equal">
      <formula>"B"</formula>
    </cfRule>
    <cfRule type="cellIs" dxfId="132" priority="35" stopIfTrue="1" operator="equal">
      <formula>"A"</formula>
    </cfRule>
  </conditionalFormatting>
  <conditionalFormatting sqref="B20:G20 B21:F21">
    <cfRule type="cellIs" dxfId="131" priority="28" stopIfTrue="1" operator="equal">
      <formula>"F"</formula>
    </cfRule>
    <cfRule type="cellIs" dxfId="130" priority="29" stopIfTrue="1" operator="equal">
      <formula>"C"</formula>
    </cfRule>
    <cfRule type="cellIs" dxfId="129" priority="30" stopIfTrue="1" operator="equal">
      <formula>"B"</formula>
    </cfRule>
    <cfRule type="cellIs" dxfId="128" priority="31" stopIfTrue="1" operator="equal">
      <formula>"A"</formula>
    </cfRule>
  </conditionalFormatting>
  <conditionalFormatting sqref="G17">
    <cfRule type="cellIs" dxfId="127" priority="24" stopIfTrue="1" operator="equal">
      <formula>"F"</formula>
    </cfRule>
    <cfRule type="cellIs" dxfId="126" priority="25" stopIfTrue="1" operator="equal">
      <formula>"C"</formula>
    </cfRule>
    <cfRule type="cellIs" dxfId="125" priority="26" stopIfTrue="1" operator="equal">
      <formula>"B"</formula>
    </cfRule>
    <cfRule type="cellIs" dxfId="124" priority="27" stopIfTrue="1" operator="equal">
      <formula>"A"</formula>
    </cfRule>
  </conditionalFormatting>
  <conditionalFormatting sqref="G21">
    <cfRule type="cellIs" dxfId="123" priority="20" stopIfTrue="1" operator="equal">
      <formula>"F"</formula>
    </cfRule>
    <cfRule type="cellIs" dxfId="122" priority="21" stopIfTrue="1" operator="equal">
      <formula>"C"</formula>
    </cfRule>
    <cfRule type="cellIs" dxfId="121" priority="22" stopIfTrue="1" operator="equal">
      <formula>"B"</formula>
    </cfRule>
    <cfRule type="cellIs" dxfId="120" priority="23" stopIfTrue="1" operator="equal">
      <formula>"A"</formula>
    </cfRule>
  </conditionalFormatting>
  <conditionalFormatting sqref="B24:G24">
    <cfRule type="cellIs" dxfId="119" priority="15" stopIfTrue="1" operator="greaterThan">
      <formula>10</formula>
    </cfRule>
  </conditionalFormatting>
  <conditionalFormatting sqref="B22:F22">
    <cfRule type="cellIs" dxfId="118" priority="11" stopIfTrue="1" operator="equal">
      <formula>"F"</formula>
    </cfRule>
    <cfRule type="cellIs" dxfId="117" priority="12" stopIfTrue="1" operator="equal">
      <formula>"C"</formula>
    </cfRule>
    <cfRule type="cellIs" dxfId="116" priority="13" stopIfTrue="1" operator="equal">
      <formula>"B"</formula>
    </cfRule>
    <cfRule type="cellIs" dxfId="115" priority="14" stopIfTrue="1" operator="equal">
      <formula>"A"</formula>
    </cfRule>
  </conditionalFormatting>
  <conditionalFormatting sqref="G22">
    <cfRule type="cellIs" dxfId="114" priority="7" stopIfTrue="1" operator="equal">
      <formula>"F"</formula>
    </cfRule>
    <cfRule type="cellIs" dxfId="113" priority="8" stopIfTrue="1" operator="equal">
      <formula>"C"</formula>
    </cfRule>
    <cfRule type="cellIs" dxfId="112" priority="9" stopIfTrue="1" operator="equal">
      <formula>"B"</formula>
    </cfRule>
    <cfRule type="cellIs" dxfId="111" priority="10" stopIfTrue="1" operator="equal">
      <formula>"A"</formula>
    </cfRule>
  </conditionalFormatting>
  <conditionalFormatting sqref="B23:F23">
    <cfRule type="cellIs" dxfId="110" priority="5" operator="lessThanOrEqual">
      <formula>$B$22</formula>
    </cfRule>
    <cfRule type="cellIs" dxfId="109" priority="6" operator="greaterThanOrEqual">
      <formula>$B$22</formula>
    </cfRule>
  </conditionalFormatting>
  <conditionalFormatting sqref="G23">
    <cfRule type="cellIs" dxfId="108" priority="1" operator="lessThanOrEqual">
      <formula>$B$22</formula>
    </cfRule>
    <cfRule type="cellIs" dxfId="107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B6" sqref="B6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85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/>
      <c r="C5" s="115"/>
      <c r="D5" s="115"/>
      <c r="E5" s="114"/>
      <c r="F5" s="114"/>
      <c r="G5" s="116">
        <f>SUM(B5:F5)</f>
        <v>0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/>
      <c r="C6" s="347">
        <f>B6+7</f>
        <v>7</v>
      </c>
      <c r="D6" s="347">
        <f>C6+7</f>
        <v>14</v>
      </c>
      <c r="E6" s="347">
        <f>D6+7</f>
        <v>21</v>
      </c>
      <c r="F6" s="347">
        <f>E6+7</f>
        <v>28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/>
      <c r="C7" s="115"/>
      <c r="D7" s="115"/>
      <c r="E7" s="114"/>
      <c r="F7" s="114"/>
      <c r="G7" s="116">
        <f>SUM(B7:F7)</f>
        <v>0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/>
      <c r="C8" s="121"/>
      <c r="D8" s="115"/>
      <c r="E8" s="115"/>
      <c r="F8" s="120"/>
      <c r="G8" s="116">
        <f>SUM(B8:F8)</f>
        <v>0</v>
      </c>
      <c r="H8" s="255">
        <f>SUM(G8*0.03)</f>
        <v>0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0</v>
      </c>
      <c r="C9" s="296">
        <f>SUM(C7-C8)</f>
        <v>0</v>
      </c>
      <c r="D9" s="296">
        <f t="shared" ref="D9:F9" si="0">SUM(D7-D8)</f>
        <v>0</v>
      </c>
      <c r="E9" s="296">
        <f t="shared" si="0"/>
        <v>0</v>
      </c>
      <c r="F9" s="296">
        <f t="shared" si="0"/>
        <v>0</v>
      </c>
      <c r="G9" s="307">
        <f>SUM(G7-G8)</f>
        <v>0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 t="e">
        <f>(B7-B5)/B5</f>
        <v>#DIV/0!</v>
      </c>
      <c r="C10" s="128" t="e">
        <f t="shared" ref="C10:F10" si="1">(C7-C5)/C5</f>
        <v>#DIV/0!</v>
      </c>
      <c r="D10" s="128" t="e">
        <f t="shared" si="1"/>
        <v>#DIV/0!</v>
      </c>
      <c r="E10" s="128" t="e">
        <f t="shared" si="1"/>
        <v>#DIV/0!</v>
      </c>
      <c r="F10" s="128" t="e">
        <f t="shared" si="1"/>
        <v>#DIV/0!</v>
      </c>
      <c r="G10" s="129" t="e">
        <f>(G7-G5)/G5</f>
        <v>#DIV/0!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e">
        <f>IF(B10&gt;=10%,"A",IF(B10&gt;=7%,"B",IF(B10&gt;2%,"C",IF(B10&lt;2%,"F",))))</f>
        <v>#DIV/0!</v>
      </c>
      <c r="C11" s="308" t="e">
        <f t="shared" ref="C11:F11" si="2">IF(C10&gt;=10%,"A",IF(C10&gt;=7%,"B",IF(C10&gt;2%,"C",IF(C10&lt;2%,"F",))))</f>
        <v>#DIV/0!</v>
      </c>
      <c r="D11" s="308" t="e">
        <f t="shared" si="2"/>
        <v>#DIV/0!</v>
      </c>
      <c r="E11" s="308" t="e">
        <f t="shared" si="2"/>
        <v>#DIV/0!</v>
      </c>
      <c r="F11" s="308" t="e">
        <f t="shared" si="2"/>
        <v>#DIV/0!</v>
      </c>
      <c r="G11" s="130" t="e">
        <f>IF(G10&gt;=10%,"A",IF(G10&gt;=7%,"B",IF(G10&gt;2%,"C",IF(G10&lt;2%,"F",))))</f>
        <v>#DIV/0!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 t="e">
        <f>LOOKUP(G11,J9:K12)</f>
        <v>#DIV/0!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/>
      <c r="C13" s="115"/>
      <c r="D13" s="115"/>
      <c r="E13" s="115"/>
      <c r="F13" s="120"/>
      <c r="G13" s="116">
        <f>SUM(B13:F13)+G14</f>
        <v>0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/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 t="e">
        <f>SUM(B13/B7)</f>
        <v>#DIV/0!</v>
      </c>
      <c r="C15" s="129" t="e">
        <f t="shared" ref="C15:F15" si="3">SUM(C13/C7)</f>
        <v>#DIV/0!</v>
      </c>
      <c r="D15" s="129" t="e">
        <f t="shared" si="3"/>
        <v>#DIV/0!</v>
      </c>
      <c r="E15" s="129" t="e">
        <f t="shared" si="3"/>
        <v>#DIV/0!</v>
      </c>
      <c r="F15" s="129" t="e">
        <f t="shared" si="3"/>
        <v>#DIV/0!</v>
      </c>
      <c r="G15" s="129" t="e">
        <f>SUM(G13/G7)</f>
        <v>#DIV/0!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e">
        <f>IF(B15&lt;=27%,"A",IF(B15&lt;=30%,"B",IF(B15&lt;32%,"C",IF(B15&gt;=32%,"F",))))</f>
        <v>#DIV/0!</v>
      </c>
      <c r="C16" s="308" t="e">
        <f t="shared" ref="C16:F16" si="4">IF(C15&lt;=27%,"A",IF(C15&lt;=30%,"B",IF(C15&lt;32%,"C",IF(C15&gt;=32%,"F",))))</f>
        <v>#DIV/0!</v>
      </c>
      <c r="D16" s="308" t="e">
        <f t="shared" si="4"/>
        <v>#DIV/0!</v>
      </c>
      <c r="E16" s="308" t="e">
        <f t="shared" si="4"/>
        <v>#DIV/0!</v>
      </c>
      <c r="F16" s="308" t="e">
        <f t="shared" si="4"/>
        <v>#DIV/0!</v>
      </c>
      <c r="G16" s="130" t="e">
        <f>IF(G15&lt;=27%,"A",IF(G15&lt;=30%,"B",IF(G15&lt;=32%,"C",IF(G15&gt;32%,"F",))))</f>
        <v>#DIV/0!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 t="e">
        <f>LOOKUP(G16,J9:K12)</f>
        <v>#DIV/0!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/>
      <c r="C18" s="115"/>
      <c r="D18" s="115"/>
      <c r="E18" s="115"/>
      <c r="F18" s="115"/>
      <c r="G18" s="116">
        <f>SUM(B18:F18)</f>
        <v>0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 t="e">
        <f>SUM(B18/B7)</f>
        <v>#DIV/0!</v>
      </c>
      <c r="C19" s="129" t="e">
        <f t="shared" ref="C19:F19" si="5">SUM(C18/C7)</f>
        <v>#DIV/0!</v>
      </c>
      <c r="D19" s="129" t="e">
        <f t="shared" si="5"/>
        <v>#DIV/0!</v>
      </c>
      <c r="E19" s="129" t="e">
        <f t="shared" si="5"/>
        <v>#DIV/0!</v>
      </c>
      <c r="F19" s="129" t="e">
        <f t="shared" si="5"/>
        <v>#DIV/0!</v>
      </c>
      <c r="G19" s="129" t="e">
        <f>SUM(G18/G7)</f>
        <v>#DIV/0!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e">
        <f>IF(B19&lt;=20%,"A",IF(B19&lt;=23%,"B",IF(B19&lt;25%,"C",IF(B19&gt;=25%,"F",))))</f>
        <v>#DIV/0!</v>
      </c>
      <c r="C20" s="308" t="e">
        <f>IF(C19&lt;=20%,"A",IF(C19&lt;=23%,"B",IF(C19&lt;25%,"C",IF(C19&gt;=25%,"F",IF))))</f>
        <v>#DIV/0!</v>
      </c>
      <c r="D20" s="308" t="e">
        <f>IF(D19&lt;=20%,"A",IF(D19&lt;=23%,"B",IF(D19&lt;25%,"C",IF(D19&gt;=25%,"F",IF))))</f>
        <v>#DIV/0!</v>
      </c>
      <c r="E20" s="308" t="e">
        <f>IF(E19&lt;=20%,"A",IF(E19&lt;=23%,"B",IF(E19&lt;25%,"C",IF(E19&gt;=25%,"F",IF))))</f>
        <v>#DIV/0!</v>
      </c>
      <c r="F20" s="308" t="e">
        <f>IF(F19&lt;=20%,"A",IF(F19&lt;=23%,"B",IF(F19&lt;25%,"C",IF(F19&gt;=25%,"F",IF))))</f>
        <v>#DIV/0!</v>
      </c>
      <c r="G20" s="130" t="e">
        <f>IF(G19&lt;=20%,"A",IF(G19&lt;=23%,"B",IF(G19&lt;=25%,"C",IF(G19&gt;25%,"F",IF))))</f>
        <v>#DIV/0!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 t="e">
        <f>LOOKUP(G20,J9:K12)</f>
        <v>#DIV/0!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/>
      <c r="C22" s="295"/>
      <c r="D22" s="295"/>
      <c r="E22" s="295"/>
      <c r="F22" s="327"/>
      <c r="G22" s="312" t="e">
        <f>AVERAGE(B22:F22)</f>
        <v>#DIV/0!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/>
      <c r="C23" s="295"/>
      <c r="D23" s="295"/>
      <c r="E23" s="295"/>
      <c r="F23" s="295"/>
      <c r="G23" s="352" t="e">
        <f>AVERAGE(B23:F23)</f>
        <v>#DIV/0!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0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e">
        <f t="shared" si="6"/>
        <v>#DIV/0!</v>
      </c>
      <c r="H24" s="149" t="e">
        <f>SUM(+G12+G17+G21)</f>
        <v>#DIV/0!</v>
      </c>
      <c r="I24" s="150" t="s">
        <v>2</v>
      </c>
      <c r="J24" s="151" t="e">
        <f>SUM(H26*1.5)</f>
        <v>#DIV/0!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/>
      <c r="C25" s="115"/>
      <c r="D25" s="115"/>
      <c r="E25" s="115"/>
      <c r="F25" s="115"/>
      <c r="G25" s="307">
        <f>SUM(B25:F25)</f>
        <v>0</v>
      </c>
      <c r="H25" s="149" t="e">
        <f>SUM(G24+G26)</f>
        <v>#DIV/0!</v>
      </c>
      <c r="I25" s="152" t="s">
        <v>3</v>
      </c>
      <c r="J25" s="153" t="e">
        <f>SUM(H26*1.25)</f>
        <v>#DIV/0!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 t="e">
        <f>SUM(+H8+H24+H25)</f>
        <v>#DIV/0!</v>
      </c>
      <c r="I26" s="150" t="s">
        <v>4</v>
      </c>
      <c r="J26" s="249" t="e">
        <f>SUM(H26*1)</f>
        <v>#DIV/0!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 t="e">
        <f>LOOKUP(H9,I24:J26)</f>
        <v>#DIV/0!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 t="e">
        <f>SUM(G29*0.66)</f>
        <v>#DIV/0!</v>
      </c>
      <c r="D29" s="162"/>
      <c r="E29" s="162"/>
      <c r="F29" s="162"/>
      <c r="G29" s="163" t="e">
        <f>IF(E3="FAIL","$0.00",IF(G20="F","$0.00",IF(G16="F","$0.00",IF(E3="PASS",G27,))))</f>
        <v>#DIV/0!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 t="e">
        <f>SUM(G29*0.33)</f>
        <v>#DIV/0!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aqopSdGKi093j5CoUY7YKUSiPUy4wTgV5M2zN79gsiEwNHWM4LNEhFxzTslUKs3kpSMBZaeChz4mEucGDPDvzA==" saltValue="WRydPCigvcE2dCAOAIvJCQ==" spinCount="100000" sheet="1" objects="1" scenarios="1"/>
  <conditionalFormatting sqref="H24">
    <cfRule type="cellIs" dxfId="106" priority="65" stopIfTrue="1" operator="lessThan">
      <formula>0</formula>
    </cfRule>
  </conditionalFormatting>
  <conditionalFormatting sqref="I24:I26">
    <cfRule type="cellIs" dxfId="105" priority="56" stopIfTrue="1" operator="lessThan">
      <formula>0</formula>
    </cfRule>
  </conditionalFormatting>
  <conditionalFormatting sqref="E3">
    <cfRule type="containsText" dxfId="104" priority="54" stopIfTrue="1" operator="containsText" text="PASS">
      <formula>NOT(ISERROR(SEARCH("PASS",E3)))</formula>
    </cfRule>
    <cfRule type="containsText" dxfId="103" priority="55" stopIfTrue="1" operator="containsText" text="FAIL">
      <formula>NOT(ISERROR(SEARCH("FAIL",E3)))</formula>
    </cfRule>
  </conditionalFormatting>
  <conditionalFormatting sqref="B19:G19">
    <cfRule type="cellIs" dxfId="102" priority="43" stopIfTrue="1" operator="greaterThanOrEqual">
      <formula>0.27</formula>
    </cfRule>
    <cfRule type="cellIs" dxfId="101" priority="44" stopIfTrue="1" operator="between">
      <formula>0.23</formula>
      <formula>0.25</formula>
    </cfRule>
    <cfRule type="cellIs" dxfId="100" priority="45" stopIfTrue="1" operator="lessThan">
      <formula>0.2</formula>
    </cfRule>
    <cfRule type="cellIs" dxfId="99" priority="53" stopIfTrue="1" operator="between">
      <formula>0.2</formula>
      <formula>0.2299</formula>
    </cfRule>
  </conditionalFormatting>
  <conditionalFormatting sqref="B15:G15">
    <cfRule type="cellIs" dxfId="98" priority="52" stopIfTrue="1" operator="between">
      <formula>0.3</formula>
      <formula>0.32</formula>
    </cfRule>
  </conditionalFormatting>
  <conditionalFormatting sqref="B10:G10">
    <cfRule type="cellIs" dxfId="97" priority="49" stopIfTrue="1" operator="greaterThan">
      <formula>0.1</formula>
    </cfRule>
    <cfRule type="cellIs" dxfId="96" priority="50" stopIfTrue="1" operator="greaterThan">
      <formula>0.07</formula>
    </cfRule>
    <cfRule type="cellIs" dxfId="95" priority="51" stopIfTrue="1" operator="greaterThan">
      <formula>0.02</formula>
    </cfRule>
  </conditionalFormatting>
  <conditionalFormatting sqref="B15:G15">
    <cfRule type="cellIs" dxfId="94" priority="46" stopIfTrue="1" operator="greaterThanOrEqual">
      <formula>0.32</formula>
    </cfRule>
    <cfRule type="cellIs" dxfId="93" priority="47" stopIfTrue="1" operator="between">
      <formula>0.27</formula>
      <formula>0.3</formula>
    </cfRule>
    <cfRule type="cellIs" dxfId="92" priority="48" stopIfTrue="1" operator="lessThanOrEqual">
      <formula>0.27</formula>
    </cfRule>
  </conditionalFormatting>
  <conditionalFormatting sqref="B26:G26 B28:G28 B27:F27">
    <cfRule type="cellIs" dxfId="91" priority="41" stopIfTrue="1" operator="lessThan">
      <formula>0</formula>
    </cfRule>
  </conditionalFormatting>
  <conditionalFormatting sqref="B10:G10">
    <cfRule type="cellIs" dxfId="90" priority="40" stopIfTrue="1" operator="lessThanOrEqual">
      <formula>0.02</formula>
    </cfRule>
  </conditionalFormatting>
  <conditionalFormatting sqref="B11:G12">
    <cfRule type="cellIs" dxfId="89" priority="36" stopIfTrue="1" operator="equal">
      <formula>"F"</formula>
    </cfRule>
    <cfRule type="cellIs" dxfId="88" priority="37" stopIfTrue="1" operator="equal">
      <formula>"C"</formula>
    </cfRule>
    <cfRule type="cellIs" dxfId="87" priority="38" stopIfTrue="1" operator="equal">
      <formula>"B"</formula>
    </cfRule>
    <cfRule type="cellIs" dxfId="86" priority="39" stopIfTrue="1" operator="equal">
      <formula>"A"</formula>
    </cfRule>
  </conditionalFormatting>
  <conditionalFormatting sqref="B16:G16 F17">
    <cfRule type="cellIs" dxfId="85" priority="32" stopIfTrue="1" operator="equal">
      <formula>"F"</formula>
    </cfRule>
    <cfRule type="cellIs" dxfId="84" priority="33" stopIfTrue="1" operator="equal">
      <formula>"C"</formula>
    </cfRule>
    <cfRule type="cellIs" dxfId="83" priority="34" stopIfTrue="1" operator="equal">
      <formula>"B"</formula>
    </cfRule>
    <cfRule type="cellIs" dxfId="82" priority="35" stopIfTrue="1" operator="equal">
      <formula>"A"</formula>
    </cfRule>
  </conditionalFormatting>
  <conditionalFormatting sqref="B20:G20 B21:F21">
    <cfRule type="cellIs" dxfId="81" priority="28" stopIfTrue="1" operator="equal">
      <formula>"F"</formula>
    </cfRule>
    <cfRule type="cellIs" dxfId="80" priority="29" stopIfTrue="1" operator="equal">
      <formula>"C"</formula>
    </cfRule>
    <cfRule type="cellIs" dxfId="79" priority="30" stopIfTrue="1" operator="equal">
      <formula>"B"</formula>
    </cfRule>
    <cfRule type="cellIs" dxfId="78" priority="31" stopIfTrue="1" operator="equal">
      <formula>"A"</formula>
    </cfRule>
  </conditionalFormatting>
  <conditionalFormatting sqref="G17">
    <cfRule type="cellIs" dxfId="77" priority="24" stopIfTrue="1" operator="equal">
      <formula>"F"</formula>
    </cfRule>
    <cfRule type="cellIs" dxfId="76" priority="25" stopIfTrue="1" operator="equal">
      <formula>"C"</formula>
    </cfRule>
    <cfRule type="cellIs" dxfId="75" priority="26" stopIfTrue="1" operator="equal">
      <formula>"B"</formula>
    </cfRule>
    <cfRule type="cellIs" dxfId="74" priority="27" stopIfTrue="1" operator="equal">
      <formula>"A"</formula>
    </cfRule>
  </conditionalFormatting>
  <conditionalFormatting sqref="G21">
    <cfRule type="cellIs" dxfId="73" priority="20" stopIfTrue="1" operator="equal">
      <formula>"F"</formula>
    </cfRule>
    <cfRule type="cellIs" dxfId="72" priority="21" stopIfTrue="1" operator="equal">
      <formula>"C"</formula>
    </cfRule>
    <cfRule type="cellIs" dxfId="71" priority="22" stopIfTrue="1" operator="equal">
      <formula>"B"</formula>
    </cfRule>
    <cfRule type="cellIs" dxfId="70" priority="23" stopIfTrue="1" operator="equal">
      <formula>"A"</formula>
    </cfRule>
  </conditionalFormatting>
  <conditionalFormatting sqref="B24:G24">
    <cfRule type="cellIs" dxfId="69" priority="15" stopIfTrue="1" operator="greaterThan">
      <formula>10</formula>
    </cfRule>
  </conditionalFormatting>
  <conditionalFormatting sqref="B22:F22">
    <cfRule type="cellIs" dxfId="68" priority="11" stopIfTrue="1" operator="equal">
      <formula>"F"</formula>
    </cfRule>
    <cfRule type="cellIs" dxfId="67" priority="12" stopIfTrue="1" operator="equal">
      <formula>"C"</formula>
    </cfRule>
    <cfRule type="cellIs" dxfId="66" priority="13" stopIfTrue="1" operator="equal">
      <formula>"B"</formula>
    </cfRule>
    <cfRule type="cellIs" dxfId="65" priority="14" stopIfTrue="1" operator="equal">
      <formula>"A"</formula>
    </cfRule>
  </conditionalFormatting>
  <conditionalFormatting sqref="G22">
    <cfRule type="cellIs" dxfId="64" priority="7" stopIfTrue="1" operator="equal">
      <formula>"F"</formula>
    </cfRule>
    <cfRule type="cellIs" dxfId="63" priority="8" stopIfTrue="1" operator="equal">
      <formula>"C"</formula>
    </cfRule>
    <cfRule type="cellIs" dxfId="62" priority="9" stopIfTrue="1" operator="equal">
      <formula>"B"</formula>
    </cfRule>
    <cfRule type="cellIs" dxfId="61" priority="10" stopIfTrue="1" operator="equal">
      <formula>"A"</formula>
    </cfRule>
  </conditionalFormatting>
  <conditionalFormatting sqref="B23:F23">
    <cfRule type="cellIs" dxfId="60" priority="5" operator="lessThanOrEqual">
      <formula>$B$22</formula>
    </cfRule>
    <cfRule type="cellIs" dxfId="59" priority="6" operator="greaterThanOrEqual">
      <formula>$B$22</formula>
    </cfRule>
  </conditionalFormatting>
  <conditionalFormatting sqref="G23">
    <cfRule type="cellIs" dxfId="58" priority="1" operator="lessThanOrEqual">
      <formula>$B$22</formula>
    </cfRule>
    <cfRule type="cellIs" dxfId="57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selection activeCell="E24" sqref="E24"/>
    </sheetView>
  </sheetViews>
  <sheetFormatPr defaultRowHeight="15"/>
  <cols>
    <col min="1" max="1" width="43.140625" style="333" customWidth="1"/>
    <col min="2" max="4" width="19.85546875" style="196" customWidth="1"/>
    <col min="5" max="5" width="22" style="196" bestFit="1" customWidth="1"/>
    <col min="6" max="6" width="15.7109375" style="194" bestFit="1" customWidth="1"/>
    <col min="7" max="7" width="7.140625" style="194" bestFit="1" customWidth="1"/>
    <col min="8" max="8" width="14.7109375" style="194" bestFit="1" customWidth="1"/>
    <col min="9" max="9" width="13.5703125" style="194" bestFit="1" customWidth="1"/>
    <col min="10" max="10" width="13.85546875" style="195" bestFit="1" customWidth="1"/>
    <col min="11" max="11" width="9.140625" style="195"/>
    <col min="12" max="16384" width="9.140625" style="196"/>
  </cols>
  <sheetData>
    <row r="1" spans="1:11" ht="29.25" thickBot="1">
      <c r="A1" s="330" t="s">
        <v>67</v>
      </c>
      <c r="B1" s="190">
        <f>JAN!B1</f>
        <v>870</v>
      </c>
      <c r="C1" s="191"/>
      <c r="D1" s="192">
        <f>JAN!D1</f>
        <v>2020</v>
      </c>
      <c r="E1" s="193" t="s">
        <v>96</v>
      </c>
    </row>
    <row r="2" spans="1:11" ht="26.25">
      <c r="A2" s="330"/>
      <c r="B2" s="197"/>
      <c r="C2" s="191"/>
      <c r="D2" s="191"/>
      <c r="E2" s="198"/>
      <c r="H2" s="199"/>
    </row>
    <row r="3" spans="1:11" ht="27" thickBot="1">
      <c r="A3" s="336"/>
      <c r="B3" s="32"/>
      <c r="C3" s="9"/>
      <c r="D3" s="9"/>
      <c r="E3" s="171"/>
      <c r="H3" s="199"/>
    </row>
    <row r="4" spans="1:11" s="205" customFormat="1" ht="27" thickBot="1">
      <c r="A4" s="336"/>
      <c r="B4" s="88" t="s">
        <v>87</v>
      </c>
      <c r="C4" s="89" t="s">
        <v>86</v>
      </c>
      <c r="D4" s="89" t="s">
        <v>85</v>
      </c>
      <c r="E4" s="91" t="s">
        <v>15</v>
      </c>
      <c r="F4" s="194"/>
      <c r="G4" s="194"/>
      <c r="H4" s="194"/>
      <c r="I4" s="194"/>
      <c r="J4" s="204"/>
      <c r="K4" s="204"/>
    </row>
    <row r="5" spans="1:11" s="119" customFormat="1" ht="39.950000000000003" customHeight="1" thickBot="1">
      <c r="A5" s="297" t="str">
        <f>JAN!A5</f>
        <v>Last Year Sales</v>
      </c>
      <c r="B5" s="172">
        <f>OCT!G5</f>
        <v>0</v>
      </c>
      <c r="C5" s="173">
        <f>NOV!G5</f>
        <v>0</v>
      </c>
      <c r="D5" s="173">
        <f>DEC!G5</f>
        <v>0</v>
      </c>
      <c r="E5" s="174">
        <f>SUM(B5:D5)</f>
        <v>0</v>
      </c>
      <c r="F5" s="118"/>
      <c r="G5" s="118"/>
      <c r="H5" s="118"/>
      <c r="I5" s="118"/>
      <c r="J5" s="118"/>
      <c r="K5" s="118"/>
    </row>
    <row r="6" spans="1:11" s="39" customFormat="1" ht="39.950000000000003" customHeight="1" thickBot="1">
      <c r="A6" s="337" t="str">
        <f>JAN!A6</f>
        <v>week Ending Date</v>
      </c>
      <c r="B6" s="175"/>
      <c r="C6" s="175"/>
      <c r="D6" s="175"/>
      <c r="E6" s="292">
        <f>F8</f>
        <v>0</v>
      </c>
      <c r="F6" s="283"/>
      <c r="G6" s="268"/>
      <c r="H6" s="268"/>
      <c r="I6" s="268"/>
      <c r="J6" s="85"/>
      <c r="K6" s="85"/>
    </row>
    <row r="7" spans="1:11" s="119" customFormat="1" ht="39.950000000000003" customHeight="1" thickBot="1">
      <c r="A7" s="297" t="str">
        <f>JAN!A7</f>
        <v>Net Sales for Week</v>
      </c>
      <c r="B7" s="172">
        <f>OCT!G7</f>
        <v>0</v>
      </c>
      <c r="C7" s="173">
        <f>NOV!G7</f>
        <v>0</v>
      </c>
      <c r="D7" s="173">
        <f>DEC!G7</f>
        <v>0</v>
      </c>
      <c r="E7" s="174">
        <f>SUM(B7:D7)</f>
        <v>0</v>
      </c>
      <c r="F7" s="118"/>
      <c r="G7" s="118"/>
      <c r="H7" s="118"/>
      <c r="I7" s="118"/>
      <c r="J7" s="118"/>
      <c r="K7" s="118"/>
    </row>
    <row r="8" spans="1:11" s="119" customFormat="1" ht="39.950000000000003" customHeight="1" thickBot="1">
      <c r="A8" s="297" t="str">
        <f>JAN!A8</f>
        <v>Catering Sales $$</v>
      </c>
      <c r="B8" s="172">
        <f>OCT!G8</f>
        <v>0</v>
      </c>
      <c r="C8" s="173">
        <f>NOV!G8</f>
        <v>0</v>
      </c>
      <c r="D8" s="173">
        <f>DEC!G8</f>
        <v>0</v>
      </c>
      <c r="E8" s="174">
        <f>SUM(B8:D8)</f>
        <v>0</v>
      </c>
      <c r="F8" s="122">
        <f>SUM(E8*0.03)</f>
        <v>0</v>
      </c>
      <c r="G8" s="118"/>
      <c r="H8" s="118"/>
      <c r="I8" s="118"/>
      <c r="J8" s="118"/>
      <c r="K8" s="118"/>
    </row>
    <row r="9" spans="1:11" s="127" customFormat="1" ht="39.950000000000003" customHeight="1" thickBot="1">
      <c r="A9" s="297" t="str">
        <f>JAN!A9</f>
        <v>Sales After Catering</v>
      </c>
      <c r="B9" s="176">
        <f>OCT!G9</f>
        <v>0</v>
      </c>
      <c r="C9" s="177">
        <f>NOV!G9</f>
        <v>0</v>
      </c>
      <c r="D9" s="177">
        <f>DEC!G9</f>
        <v>0</v>
      </c>
      <c r="E9" s="178">
        <f>SUM(E7-E8)</f>
        <v>0</v>
      </c>
      <c r="F9" s="126"/>
      <c r="G9" s="267"/>
      <c r="H9" s="270"/>
      <c r="I9" s="271"/>
      <c r="J9" s="126"/>
      <c r="K9" s="126"/>
    </row>
    <row r="10" spans="1:11" s="119" customFormat="1" ht="39.950000000000003" customHeight="1" thickBot="1">
      <c r="A10" s="297" t="str">
        <f>JAN!A10</f>
        <v>Sales Up/Down</v>
      </c>
      <c r="B10" s="259" t="e">
        <f>OCT!G10</f>
        <v>#DIV/0!</v>
      </c>
      <c r="C10" s="260" t="e">
        <f>NOV!G10</f>
        <v>#DIV/0!</v>
      </c>
      <c r="D10" s="260" t="e">
        <f>DEC!G10</f>
        <v>#DIV/0!</v>
      </c>
      <c r="E10" s="179" t="e">
        <f>(E7-E5)/E5</f>
        <v>#DIV/0!</v>
      </c>
      <c r="F10" s="267"/>
      <c r="G10" s="267"/>
      <c r="H10" s="126"/>
      <c r="I10" s="271"/>
      <c r="J10" s="118"/>
      <c r="K10" s="118"/>
    </row>
    <row r="11" spans="1:11" s="119" customFormat="1" ht="39.950000000000003" customHeight="1" thickBot="1">
      <c r="A11" s="297" t="str">
        <f>JAN!A11</f>
        <v>GRAD</v>
      </c>
      <c r="B11" s="176" t="e">
        <f>OCT!G11</f>
        <v>#DIV/0!</v>
      </c>
      <c r="C11" s="177" t="e">
        <f>NOV!G11</f>
        <v>#DIV/0!</v>
      </c>
      <c r="D11" s="177" t="e">
        <f>DEC!G11</f>
        <v>#DIV/0!</v>
      </c>
      <c r="E11" s="180" t="e">
        <f>IF(E10&gt;=10%,"A",IF(E10&gt;=7%,"B",IF(E10&gt;2%,"C",IF(E10&lt;2%,"F",))))</f>
        <v>#DIV/0!</v>
      </c>
      <c r="F11" s="267"/>
      <c r="G11" s="267"/>
      <c r="H11" s="126"/>
      <c r="I11" s="271"/>
      <c r="J11" s="118"/>
      <c r="K11" s="118"/>
    </row>
    <row r="12" spans="1:11" s="119" customFormat="1" ht="39.950000000000003" customHeight="1" thickBot="1">
      <c r="A12" s="297">
        <f>JAN!A12</f>
        <v>0</v>
      </c>
      <c r="B12" s="177" t="e">
        <f>OCT!G12</f>
        <v>#DIV/0!</v>
      </c>
      <c r="C12" s="177" t="e">
        <f>NOV!G12</f>
        <v>#DIV/0!</v>
      </c>
      <c r="D12" s="176" t="e">
        <f>DEC!G12</f>
        <v>#DIV/0!</v>
      </c>
      <c r="E12" s="285" t="e">
        <f>SUM(B12:D12)</f>
        <v>#DIV/0!</v>
      </c>
      <c r="F12" s="267"/>
      <c r="G12" s="272"/>
      <c r="H12" s="270"/>
      <c r="I12" s="273"/>
      <c r="J12" s="134"/>
      <c r="K12" s="118"/>
    </row>
    <row r="13" spans="1:11" s="119" customFormat="1" ht="39.950000000000003" customHeight="1" thickBot="1">
      <c r="A13" s="297" t="str">
        <f>JAN!A13</f>
        <v>Reinhart Payout</v>
      </c>
      <c r="B13" s="176">
        <f>OCT!G13</f>
        <v>0</v>
      </c>
      <c r="C13" s="177">
        <f>NOV!G13</f>
        <v>0</v>
      </c>
      <c r="D13" s="177">
        <f>DEC!G13</f>
        <v>0</v>
      </c>
      <c r="E13" s="174">
        <f>SUM(B13:D13)</f>
        <v>0</v>
      </c>
      <c r="F13" s="274"/>
      <c r="G13" s="134"/>
      <c r="H13" s="138"/>
      <c r="I13" s="134"/>
      <c r="J13" s="138"/>
      <c r="K13" s="118"/>
    </row>
    <row r="14" spans="1:11" s="119" customFormat="1" ht="39.950000000000003" customHeight="1" thickBot="1">
      <c r="A14" s="297" t="str">
        <f>JAN!A14</f>
        <v xml:space="preserve">Transfer ( IN / OUT) </v>
      </c>
      <c r="B14" s="256">
        <f>OCT!G14</f>
        <v>0</v>
      </c>
      <c r="C14" s="256">
        <f>NOV!G14</f>
        <v>0</v>
      </c>
      <c r="D14" s="256">
        <f>DEC!G14</f>
        <v>0</v>
      </c>
      <c r="E14" s="174">
        <f>SUM(B14:D14)</f>
        <v>0</v>
      </c>
      <c r="F14" s="274"/>
      <c r="G14" s="134"/>
      <c r="H14" s="138"/>
      <c r="I14" s="134"/>
      <c r="J14" s="138"/>
      <c r="K14" s="118"/>
    </row>
    <row r="15" spans="1:11" s="119" customFormat="1" ht="39.950000000000003" customHeight="1" thickBot="1">
      <c r="A15" s="297" t="str">
        <f>JAN!A15</f>
        <v>Food Cost %</v>
      </c>
      <c r="B15" s="259" t="e">
        <f>OCT!G15</f>
        <v>#DIV/0!</v>
      </c>
      <c r="C15" s="260" t="e">
        <f>NOV!G15</f>
        <v>#DIV/0!</v>
      </c>
      <c r="D15" s="260" t="e">
        <f>DEC!G15</f>
        <v>#DIV/0!</v>
      </c>
      <c r="E15" s="179" t="e">
        <f>SUM(E13/E7)</f>
        <v>#DIV/0!</v>
      </c>
      <c r="F15" s="275"/>
      <c r="G15" s="272"/>
      <c r="H15" s="276"/>
      <c r="I15" s="272"/>
      <c r="J15" s="141"/>
      <c r="K15" s="118"/>
    </row>
    <row r="16" spans="1:11" s="119" customFormat="1" ht="39.950000000000003" customHeight="1" thickBot="1">
      <c r="A16" s="297" t="str">
        <f>JAN!A16</f>
        <v>GRAD</v>
      </c>
      <c r="B16" s="176" t="e">
        <f>OCT!G16</f>
        <v>#DIV/0!</v>
      </c>
      <c r="C16" s="177" t="e">
        <f>NOV!G16</f>
        <v>#DIV/0!</v>
      </c>
      <c r="D16" s="177" t="e">
        <f>DEC!G16</f>
        <v>#DIV/0!</v>
      </c>
      <c r="E16" s="180" t="e">
        <f>IF(E15&lt;=27%,"A",IF(E15&lt;=30%,"B",IF(E15&lt;32%,"C",IF(E15&gt;=32%,"F",))))</f>
        <v>#DIV/0!</v>
      </c>
      <c r="F16" s="275"/>
      <c r="G16" s="272"/>
      <c r="H16" s="276"/>
      <c r="I16" s="272"/>
      <c r="J16" s="141"/>
      <c r="K16" s="118"/>
    </row>
    <row r="17" spans="1:11" s="119" customFormat="1" ht="39.950000000000003" customHeight="1" thickBot="1">
      <c r="A17" s="297">
        <f>JAN!A17</f>
        <v>0</v>
      </c>
      <c r="B17" s="177" t="e">
        <f>OCT!G17</f>
        <v>#DIV/0!</v>
      </c>
      <c r="C17" s="177" t="e">
        <f>NOV!G17</f>
        <v>#DIV/0!</v>
      </c>
      <c r="D17" s="176" t="e">
        <f>DEC!G17</f>
        <v>#DIV/0!</v>
      </c>
      <c r="E17" s="285" t="e">
        <f>SUM(B17:D17)</f>
        <v>#DIV/0!</v>
      </c>
      <c r="F17" s="267"/>
      <c r="G17" s="277"/>
      <c r="H17" s="267"/>
      <c r="I17" s="278"/>
      <c r="J17" s="118"/>
      <c r="K17" s="118"/>
    </row>
    <row r="18" spans="1:11" s="119" customFormat="1" ht="39.950000000000003" customHeight="1" thickBot="1">
      <c r="A18" s="297" t="str">
        <f>JAN!A18</f>
        <v>Labor $$</v>
      </c>
      <c r="B18" s="176">
        <f>OCT!G18</f>
        <v>0</v>
      </c>
      <c r="C18" s="177">
        <f>NOV!G18</f>
        <v>0</v>
      </c>
      <c r="D18" s="177">
        <f>DEC!G18</f>
        <v>0</v>
      </c>
      <c r="E18" s="174">
        <f>SUM(B18:D18)</f>
        <v>0</v>
      </c>
      <c r="F18" s="134"/>
      <c r="G18" s="279"/>
      <c r="H18" s="118"/>
      <c r="I18" s="280"/>
      <c r="J18" s="118"/>
      <c r="K18" s="118"/>
    </row>
    <row r="19" spans="1:11" s="119" customFormat="1" ht="39.950000000000003" customHeight="1" thickBot="1">
      <c r="A19" s="297" t="str">
        <f>JAN!A19</f>
        <v>labor %</v>
      </c>
      <c r="B19" s="259" t="e">
        <f>OCT!G19</f>
        <v>#DIV/0!</v>
      </c>
      <c r="C19" s="260" t="e">
        <f>NOV!G19</f>
        <v>#DIV/0!</v>
      </c>
      <c r="D19" s="260" t="e">
        <f>DEC!G19</f>
        <v>#DIV/0!</v>
      </c>
      <c r="E19" s="179" t="e">
        <f>SUM(E18/E7)</f>
        <v>#DIV/0!</v>
      </c>
      <c r="F19" s="267"/>
      <c r="G19" s="281"/>
      <c r="H19" s="267"/>
      <c r="I19" s="278"/>
      <c r="J19" s="118"/>
      <c r="K19" s="118"/>
    </row>
    <row r="20" spans="1:11" s="119" customFormat="1" ht="39.950000000000003" customHeight="1" thickBot="1">
      <c r="A20" s="297" t="str">
        <f>JAN!A20</f>
        <v>GRAD</v>
      </c>
      <c r="B20" s="176" t="e">
        <f>OCT!G20</f>
        <v>#DIV/0!</v>
      </c>
      <c r="C20" s="177" t="e">
        <f>NOV!G20</f>
        <v>#DIV/0!</v>
      </c>
      <c r="D20" s="177" t="e">
        <f>DEC!G20</f>
        <v>#DIV/0!</v>
      </c>
      <c r="E20" s="181" t="e">
        <f>IF(E19&lt;=20%,"A",IF(E19&lt;=23%,"B",IF(E19&lt;25%,"C",IF(E19&gt;=25%,"F",IF))))</f>
        <v>#DIV/0!</v>
      </c>
      <c r="F20" s="267"/>
      <c r="G20" s="277"/>
      <c r="H20" s="272"/>
      <c r="I20" s="278"/>
      <c r="J20" s="118"/>
      <c r="K20" s="118"/>
    </row>
    <row r="21" spans="1:11" s="119" customFormat="1" ht="39.950000000000003" customHeight="1" thickBot="1">
      <c r="A21" s="297">
        <f>JAN!A21</f>
        <v>0</v>
      </c>
      <c r="B21" s="177" t="e">
        <f>OCT!G21</f>
        <v>#DIV/0!</v>
      </c>
      <c r="C21" s="177" t="e">
        <f>NOV!G21</f>
        <v>#DIV/0!</v>
      </c>
      <c r="D21" s="176" t="e">
        <f>DEC!G21</f>
        <v>#DIV/0!</v>
      </c>
      <c r="E21" s="285" t="e">
        <f>SUM(B21:D21)</f>
        <v>#DIV/0!</v>
      </c>
      <c r="F21" s="267"/>
      <c r="G21" s="277"/>
      <c r="H21" s="272"/>
      <c r="I21" s="278"/>
      <c r="J21" s="118"/>
      <c r="K21" s="118"/>
    </row>
    <row r="22" spans="1:11" s="119" customFormat="1" ht="39.950000000000003" customHeight="1" thickBot="1">
      <c r="A22" s="301" t="s">
        <v>110</v>
      </c>
      <c r="B22" s="340" t="e">
        <f>OCT!G22</f>
        <v>#DIV/0!</v>
      </c>
      <c r="C22" s="339" t="e">
        <f>NOV!G22</f>
        <v>#DIV/0!</v>
      </c>
      <c r="D22" s="340" t="e">
        <f>DEC!G22</f>
        <v>#DIV/0!</v>
      </c>
      <c r="E22" s="348" t="e">
        <f>AVERAGE(B22:D22)</f>
        <v>#DIV/0!</v>
      </c>
      <c r="F22" s="267"/>
      <c r="G22" s="277"/>
      <c r="H22" s="272"/>
      <c r="I22" s="278"/>
      <c r="J22" s="118"/>
      <c r="K22" s="118"/>
    </row>
    <row r="23" spans="1:11" s="119" customFormat="1" ht="39.950000000000003" customHeight="1" thickBot="1">
      <c r="A23" s="297" t="str">
        <f>JAN!A23</f>
        <v>R / F Shop Score %</v>
      </c>
      <c r="B23" s="259" t="e">
        <f>OCT!G23</f>
        <v>#DIV/0!</v>
      </c>
      <c r="C23" s="260" t="e">
        <f>NOV!G23</f>
        <v>#DIV/0!</v>
      </c>
      <c r="D23" s="260" t="e">
        <f>DEC!G23</f>
        <v>#DIV/0!</v>
      </c>
      <c r="E23" s="342" t="e">
        <f>AVERAGE(B23:D23)</f>
        <v>#DIV/0!</v>
      </c>
      <c r="F23" s="134"/>
      <c r="G23" s="134"/>
      <c r="H23" s="118"/>
      <c r="I23" s="118"/>
      <c r="J23" s="118"/>
      <c r="K23" s="118"/>
    </row>
    <row r="24" spans="1:11" s="127" customFormat="1" ht="39.950000000000003" customHeight="1" thickBot="1">
      <c r="A24" s="297" t="str">
        <f>JAN!A24</f>
        <v>Deduction $$</v>
      </c>
      <c r="B24" s="176" t="e">
        <f>OCT!G24</f>
        <v>#DIV/0!</v>
      </c>
      <c r="C24" s="177" t="e">
        <f>NOV!G24</f>
        <v>#DIV/0!</v>
      </c>
      <c r="D24" s="177" t="e">
        <f>DEC!G24</f>
        <v>#DIV/0!</v>
      </c>
      <c r="E24" s="258" t="e">
        <f>SUM(B24+C24+D24)</f>
        <v>#DIV/0!</v>
      </c>
      <c r="F24" s="141"/>
      <c r="G24" s="263"/>
      <c r="H24" s="141"/>
      <c r="I24" s="267"/>
      <c r="J24" s="126"/>
      <c r="K24" s="126"/>
    </row>
    <row r="25" spans="1:11" s="119" customFormat="1" ht="39.950000000000003" customHeight="1" thickBot="1">
      <c r="A25" s="297" t="str">
        <f>JAN!A25</f>
        <v>Cash Over Short $$</v>
      </c>
      <c r="B25" s="176">
        <f>OCT!G25</f>
        <v>0</v>
      </c>
      <c r="C25" s="177">
        <f>NOV!G25</f>
        <v>0</v>
      </c>
      <c r="D25" s="177">
        <f>DEC!G25</f>
        <v>0</v>
      </c>
      <c r="E25" s="174">
        <f>SUM(B25:D25)</f>
        <v>0</v>
      </c>
      <c r="F25" s="141"/>
      <c r="G25" s="264"/>
      <c r="H25" s="141"/>
      <c r="I25" s="118"/>
      <c r="J25" s="154"/>
      <c r="K25" s="118"/>
    </row>
    <row r="26" spans="1:11" s="127" customFormat="1" ht="39.950000000000003" customHeight="1" thickBot="1">
      <c r="A26" s="297" t="str">
        <f>JAN!A26</f>
        <v>Deduction $$</v>
      </c>
      <c r="B26" s="176">
        <f>OCT!G26</f>
        <v>0</v>
      </c>
      <c r="C26" s="177">
        <f>NOV!G26</f>
        <v>0</v>
      </c>
      <c r="D26" s="177">
        <f>DEC!G26</f>
        <v>0</v>
      </c>
      <c r="E26" s="257">
        <f>E25</f>
        <v>0</v>
      </c>
      <c r="F26" s="266"/>
      <c r="G26" s="263"/>
      <c r="H26" s="265"/>
      <c r="I26" s="276"/>
      <c r="J26" s="156"/>
      <c r="K26" s="126"/>
    </row>
    <row r="27" spans="1:11" s="119" customFormat="1" ht="39.950000000000003" customHeight="1" thickBot="1">
      <c r="A27" s="168"/>
      <c r="B27" s="182"/>
      <c r="C27" s="182"/>
      <c r="D27" s="182"/>
      <c r="E27" s="286" t="e">
        <f>SUM(OCT!G27+NOV!G27+DEC!G27)</f>
        <v>#DIV/0!</v>
      </c>
      <c r="F27" s="267"/>
      <c r="G27" s="138"/>
      <c r="H27" s="282"/>
      <c r="I27" s="282"/>
      <c r="J27" s="159"/>
      <c r="K27" s="118"/>
    </row>
    <row r="28" spans="1:11" s="216" customFormat="1" ht="39.950000000000003" customHeight="1" thickBot="1">
      <c r="A28" s="244"/>
      <c r="B28" s="183"/>
      <c r="C28" s="183"/>
      <c r="D28" s="183"/>
      <c r="E28" s="184"/>
      <c r="F28" s="212"/>
      <c r="G28" s="226"/>
      <c r="H28" s="226"/>
      <c r="I28" s="242"/>
      <c r="J28" s="240"/>
      <c r="K28" s="215"/>
    </row>
    <row r="29" spans="1:11" s="208" customFormat="1" ht="39.950000000000003" customHeight="1" thickBot="1">
      <c r="A29" s="332" t="s">
        <v>71</v>
      </c>
      <c r="B29" s="172"/>
      <c r="C29" s="287" t="e">
        <f>SUM(OCT!C29+NOV!C29+DEC!C29)</f>
        <v>#DIV/0!</v>
      </c>
      <c r="D29" s="185"/>
      <c r="E29" s="186" t="e">
        <f>IF(#REF!="FAIL","$0.00",IF(#REF!="PASS",E27,))</f>
        <v>#REF!</v>
      </c>
      <c r="F29" s="212"/>
      <c r="G29" s="212"/>
      <c r="H29" s="212"/>
      <c r="I29" s="212"/>
      <c r="J29" s="207"/>
      <c r="K29" s="207"/>
    </row>
    <row r="30" spans="1:11" s="208" customFormat="1" ht="39.950000000000003" customHeight="1" thickBot="1">
      <c r="A30" s="332" t="s">
        <v>72</v>
      </c>
      <c r="B30" s="187"/>
      <c r="C30" s="287" t="e">
        <f>SUM(OCT!C30+NOV!C30+DEC!C30)</f>
        <v>#DIV/0!</v>
      </c>
      <c r="D30" s="188"/>
      <c r="E30" s="189"/>
      <c r="F30" s="212"/>
      <c r="G30" s="212"/>
      <c r="H30" s="212"/>
      <c r="I30" s="212"/>
      <c r="J30" s="207"/>
      <c r="K30" s="207"/>
    </row>
    <row r="31" spans="1:11">
      <c r="B31" s="245"/>
      <c r="C31" s="245"/>
    </row>
    <row r="32" spans="1:11">
      <c r="B32" s="245"/>
      <c r="C32" s="245"/>
    </row>
    <row r="33" spans="2:3">
      <c r="B33" s="245"/>
      <c r="C33" s="245"/>
    </row>
    <row r="34" spans="2:3">
      <c r="B34" s="245"/>
      <c r="C34" s="245"/>
    </row>
    <row r="35" spans="2:3">
      <c r="B35" s="245"/>
      <c r="C35" s="245"/>
    </row>
    <row r="36" spans="2:3">
      <c r="B36" s="246"/>
      <c r="C36" s="245"/>
    </row>
    <row r="37" spans="2:3">
      <c r="B37" s="245"/>
      <c r="C37" s="245"/>
    </row>
    <row r="38" spans="2:3">
      <c r="B38" s="245"/>
      <c r="C38" s="245"/>
    </row>
    <row r="39" spans="2:3">
      <c r="B39" s="245"/>
      <c r="C39" s="245"/>
    </row>
    <row r="40" spans="2:3">
      <c r="B40" s="245"/>
      <c r="C40" s="245"/>
    </row>
    <row r="41" spans="2:3">
      <c r="B41" s="245"/>
      <c r="C41" s="245"/>
    </row>
    <row r="42" spans="2:3">
      <c r="B42" s="245"/>
      <c r="C42" s="245"/>
    </row>
  </sheetData>
  <sheetProtection algorithmName="SHA-512" hashValue="TenNUFp1mocdrE2G/Yy+pm+APlNgBZRA6MazRM2nUM2r6cgdAOzEek0iPa2iVI3BieH3IoDc2Wx5eoc8/M/zLw==" saltValue="NHwYWsbvTrt6CVXXh1P4CQ==" spinCount="100000" sheet="1" objects="1" scenarios="1"/>
  <conditionalFormatting sqref="B28:E28">
    <cfRule type="cellIs" dxfId="56" priority="96" stopIfTrue="1" operator="lessThan">
      <formula>0</formula>
    </cfRule>
  </conditionalFormatting>
  <conditionalFormatting sqref="F24">
    <cfRule type="cellIs" dxfId="55" priority="36" stopIfTrue="1" operator="lessThan">
      <formula>0</formula>
    </cfRule>
  </conditionalFormatting>
  <conditionalFormatting sqref="G24:G26">
    <cfRule type="cellIs" dxfId="54" priority="35" stopIfTrue="1" operator="lessThan">
      <formula>0</formula>
    </cfRule>
  </conditionalFormatting>
  <conditionalFormatting sqref="E19">
    <cfRule type="cellIs" dxfId="53" priority="16" stopIfTrue="1" operator="greaterThanOrEqual">
      <formula>0.27</formula>
    </cfRule>
    <cfRule type="cellIs" dxfId="52" priority="17" stopIfTrue="1" operator="between">
      <formula>0.23</formula>
      <formula>0.25</formula>
    </cfRule>
    <cfRule type="cellIs" dxfId="51" priority="18" stopIfTrue="1" operator="lessThan">
      <formula>0.2</formula>
    </cfRule>
    <cfRule type="cellIs" dxfId="50" priority="26" stopIfTrue="1" operator="between">
      <formula>0.2</formula>
      <formula>0.2299</formula>
    </cfRule>
  </conditionalFormatting>
  <conditionalFormatting sqref="E15">
    <cfRule type="cellIs" dxfId="49" priority="25" stopIfTrue="1" operator="between">
      <formula>0.3</formula>
      <formula>0.32</formula>
    </cfRule>
  </conditionalFormatting>
  <conditionalFormatting sqref="E10">
    <cfRule type="cellIs" dxfId="48" priority="22" stopIfTrue="1" operator="greaterThan">
      <formula>0.1</formula>
    </cfRule>
    <cfRule type="cellIs" dxfId="47" priority="23" stopIfTrue="1" operator="greaterThan">
      <formula>0.07</formula>
    </cfRule>
    <cfRule type="cellIs" dxfId="46" priority="24" stopIfTrue="1" operator="greaterThan">
      <formula>0.02</formula>
    </cfRule>
  </conditionalFormatting>
  <conditionalFormatting sqref="E15">
    <cfRule type="cellIs" dxfId="45" priority="19" stopIfTrue="1" operator="greaterThanOrEqual">
      <formula>0.32</formula>
    </cfRule>
    <cfRule type="cellIs" dxfId="44" priority="20" stopIfTrue="1" operator="between">
      <formula>0.27</formula>
      <formula>0.3</formula>
    </cfRule>
    <cfRule type="cellIs" dxfId="43" priority="21" stopIfTrue="1" operator="lessThanOrEqual">
      <formula>0.27</formula>
    </cfRule>
  </conditionalFormatting>
  <conditionalFormatting sqref="E24">
    <cfRule type="cellIs" dxfId="42" priority="15" stopIfTrue="1" operator="greaterThan">
      <formula>10</formula>
    </cfRule>
  </conditionalFormatting>
  <conditionalFormatting sqref="B27:D27 E26">
    <cfRule type="cellIs" dxfId="41" priority="14" stopIfTrue="1" operator="lessThan">
      <formula>0</formula>
    </cfRule>
  </conditionalFormatting>
  <conditionalFormatting sqref="E10">
    <cfRule type="cellIs" dxfId="40" priority="13" stopIfTrue="1" operator="lessThanOrEqual">
      <formula>0.02</formula>
    </cfRule>
  </conditionalFormatting>
  <conditionalFormatting sqref="E11:E12 E16 E20">
    <cfRule type="cellIs" dxfId="39" priority="9" stopIfTrue="1" operator="equal">
      <formula>"F"</formula>
    </cfRule>
    <cfRule type="cellIs" dxfId="38" priority="10" stopIfTrue="1" operator="equal">
      <formula>"C"</formula>
    </cfRule>
    <cfRule type="cellIs" dxfId="37" priority="11" stopIfTrue="1" operator="equal">
      <formula>"B"</formula>
    </cfRule>
    <cfRule type="cellIs" dxfId="36" priority="12" stopIfTrue="1" operator="equal">
      <formula>"A"</formula>
    </cfRule>
  </conditionalFormatting>
  <conditionalFormatting sqref="E17">
    <cfRule type="cellIs" dxfId="35" priority="5" stopIfTrue="1" operator="equal">
      <formula>"F"</formula>
    </cfRule>
    <cfRule type="cellIs" dxfId="34" priority="6" stopIfTrue="1" operator="equal">
      <formula>"C"</formula>
    </cfRule>
    <cfRule type="cellIs" dxfId="33" priority="7" stopIfTrue="1" operator="equal">
      <formula>"B"</formula>
    </cfRule>
    <cfRule type="cellIs" dxfId="32" priority="8" stopIfTrue="1" operator="equal">
      <formula>"A"</formula>
    </cfRule>
  </conditionalFormatting>
  <conditionalFormatting sqref="E21:E22">
    <cfRule type="cellIs" dxfId="31" priority="1" stopIfTrue="1" operator="equal">
      <formula>"F"</formula>
    </cfRule>
    <cfRule type="cellIs" dxfId="30" priority="2" stopIfTrue="1" operator="equal">
      <formula>"C"</formula>
    </cfRule>
    <cfRule type="cellIs" dxfId="29" priority="3" stopIfTrue="1" operator="equal">
      <formula>"B"</formula>
    </cfRule>
    <cfRule type="cellIs" dxfId="28" priority="4" stopIfTrue="1" operator="equal">
      <formula>"A"</formula>
    </cfRule>
  </conditionalFormatting>
  <pageMargins left="0.7" right="0.7" top="0.75" bottom="0.75" header="0.3" footer="0.3"/>
  <pageSetup scale="63" orientation="portrait" horizontalDpi="0" verticalDpi="0" r:id="rId1"/>
  <colBreaks count="1" manualBreakCount="1">
    <brk id="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>
      <selection activeCell="E1" sqref="E1"/>
    </sheetView>
  </sheetViews>
  <sheetFormatPr defaultRowHeight="26.25"/>
  <cols>
    <col min="1" max="1" width="43.140625" style="330" customWidth="1"/>
    <col min="2" max="6" width="22" style="196" bestFit="1" customWidth="1"/>
    <col min="7" max="7" width="15.7109375" style="194" bestFit="1" customWidth="1"/>
    <col min="8" max="8" width="7.140625" style="194" bestFit="1" customWidth="1"/>
    <col min="9" max="9" width="14.7109375" style="194" bestFit="1" customWidth="1"/>
    <col min="10" max="10" width="13.5703125" style="194" bestFit="1" customWidth="1"/>
    <col min="11" max="11" width="13.85546875" style="195" bestFit="1" customWidth="1"/>
    <col min="12" max="12" width="9.140625" style="195"/>
    <col min="13" max="16384" width="9.140625" style="196"/>
  </cols>
  <sheetData>
    <row r="1" spans="1:12" ht="29.25" thickBot="1">
      <c r="A1" s="330" t="s">
        <v>67</v>
      </c>
      <c r="B1" s="190">
        <f>JAN!B1</f>
        <v>870</v>
      </c>
      <c r="C1" s="197"/>
      <c r="D1" s="191"/>
      <c r="E1" s="192">
        <f>JAN!D1</f>
        <v>2020</v>
      </c>
      <c r="F1" s="193" t="s">
        <v>96</v>
      </c>
    </row>
    <row r="2" spans="1:12">
      <c r="B2" s="197"/>
      <c r="C2" s="197"/>
      <c r="D2" s="191"/>
      <c r="E2" s="191"/>
      <c r="F2" s="198"/>
      <c r="I2" s="199"/>
    </row>
    <row r="3" spans="1:12" ht="27" thickBot="1">
      <c r="B3" s="197"/>
      <c r="C3" s="197"/>
      <c r="D3" s="191"/>
      <c r="E3" s="191"/>
      <c r="F3" s="200"/>
      <c r="I3" s="199"/>
    </row>
    <row r="4" spans="1:12" s="205" customFormat="1" ht="27" thickBot="1">
      <c r="A4" s="330"/>
      <c r="B4" s="201" t="s">
        <v>99</v>
      </c>
      <c r="C4" s="201" t="s">
        <v>100</v>
      </c>
      <c r="D4" s="202" t="s">
        <v>101</v>
      </c>
      <c r="E4" s="202" t="s">
        <v>102</v>
      </c>
      <c r="F4" s="203" t="s">
        <v>103</v>
      </c>
      <c r="G4" s="194"/>
      <c r="H4" s="194"/>
      <c r="I4" s="194"/>
      <c r="J4" s="194"/>
      <c r="K4" s="204"/>
      <c r="L4" s="204"/>
    </row>
    <row r="5" spans="1:12" s="208" customFormat="1" ht="39.950000000000003" customHeight="1" thickBot="1">
      <c r="A5" s="217" t="s">
        <v>10</v>
      </c>
      <c r="B5" s="172">
        <f>'Q 1'!E5</f>
        <v>182339.47999999998</v>
      </c>
      <c r="C5" s="172">
        <f>'Q 2'!E5</f>
        <v>189358.84</v>
      </c>
      <c r="D5" s="173">
        <f>'Q 3'!E5</f>
        <v>11998.51</v>
      </c>
      <c r="E5" s="173">
        <f>'Q 4'!E5</f>
        <v>0</v>
      </c>
      <c r="F5" s="174">
        <f>SUM(B5:E5)</f>
        <v>383696.82999999996</v>
      </c>
      <c r="G5" s="206"/>
      <c r="H5" s="206"/>
      <c r="I5" s="206"/>
      <c r="J5" s="206"/>
      <c r="K5" s="207"/>
      <c r="L5" s="207"/>
    </row>
    <row r="6" spans="1:12" s="209" customFormat="1" ht="39.950000000000003" customHeight="1" thickBot="1">
      <c r="A6" s="334"/>
      <c r="B6" s="175"/>
      <c r="C6" s="175"/>
      <c r="D6" s="175"/>
      <c r="E6" s="175"/>
      <c r="F6" s="293">
        <f>G8</f>
        <v>144.3279</v>
      </c>
      <c r="G6" s="284"/>
      <c r="H6" s="194"/>
      <c r="I6" s="194"/>
      <c r="J6" s="194"/>
      <c r="K6" s="195"/>
      <c r="L6" s="195"/>
    </row>
    <row r="7" spans="1:12" s="208" customFormat="1" ht="39.950000000000003" customHeight="1" thickBot="1">
      <c r="A7" s="217" t="s">
        <v>8</v>
      </c>
      <c r="B7" s="172">
        <f>'Q 1'!E7</f>
        <v>157938.25</v>
      </c>
      <c r="C7" s="172">
        <f>'Q 2'!E7</f>
        <v>157217.81</v>
      </c>
      <c r="D7" s="173">
        <f>'Q 3'!E7</f>
        <v>13668</v>
      </c>
      <c r="E7" s="173">
        <f>'Q 4'!E7</f>
        <v>0</v>
      </c>
      <c r="F7" s="174">
        <f>SUM(B7:E7)</f>
        <v>328824.06</v>
      </c>
      <c r="G7" s="206"/>
      <c r="H7" s="206"/>
      <c r="I7" s="206"/>
      <c r="J7" s="206"/>
      <c r="K7" s="207"/>
      <c r="L7" s="207"/>
    </row>
    <row r="8" spans="1:12" s="208" customFormat="1" ht="39.950000000000003" customHeight="1" thickBot="1">
      <c r="A8" s="217" t="s">
        <v>17</v>
      </c>
      <c r="B8" s="172">
        <f>'Q 1'!E8</f>
        <v>2773.9300000000003</v>
      </c>
      <c r="C8" s="172">
        <f>'Q 2'!E8</f>
        <v>1837</v>
      </c>
      <c r="D8" s="173">
        <f>'Q 3'!E8</f>
        <v>200</v>
      </c>
      <c r="E8" s="173">
        <f>'Q 4'!E8</f>
        <v>0</v>
      </c>
      <c r="F8" s="174">
        <f>SUM(B8:E8)</f>
        <v>4810.93</v>
      </c>
      <c r="G8" s="210">
        <f>SUM(F8*0.03)</f>
        <v>144.3279</v>
      </c>
      <c r="H8" s="206"/>
      <c r="I8" s="206"/>
      <c r="J8" s="206"/>
      <c r="K8" s="207"/>
      <c r="L8" s="207"/>
    </row>
    <row r="9" spans="1:12" s="216" customFormat="1" ht="39.950000000000003" customHeight="1" thickBot="1">
      <c r="A9" s="217" t="s">
        <v>23</v>
      </c>
      <c r="B9" s="172">
        <f>'Q 1'!E9</f>
        <v>155164.32</v>
      </c>
      <c r="C9" s="172">
        <f>'Q 2'!E9</f>
        <v>155380.81</v>
      </c>
      <c r="D9" s="173">
        <f>'Q 3'!E9</f>
        <v>13468</v>
      </c>
      <c r="E9" s="173">
        <f>'Q 4'!E9</f>
        <v>0</v>
      </c>
      <c r="F9" s="178">
        <f>SUM(F7-F8)</f>
        <v>324013.13</v>
      </c>
      <c r="G9" s="211" t="str">
        <f>IF(F9&gt;=71000,"A",IF(F9&gt;55000,"B",IF(F9&lt;=55000,"C")))</f>
        <v>A</v>
      </c>
      <c r="H9" s="212"/>
      <c r="I9" s="213" t="s">
        <v>2</v>
      </c>
      <c r="J9" s="214">
        <f>GUIDELINES!D38</f>
        <v>50</v>
      </c>
      <c r="K9" s="215"/>
      <c r="L9" s="215"/>
    </row>
    <row r="10" spans="1:12" s="208" customFormat="1" ht="39.950000000000003" customHeight="1" thickBot="1">
      <c r="A10" s="217" t="s">
        <v>21</v>
      </c>
      <c r="B10" s="261">
        <f>'Q 1'!E10</f>
        <v>-0.13382307550728995</v>
      </c>
      <c r="C10" s="261">
        <f>'Q 2'!E10</f>
        <v>-0.16973609470780451</v>
      </c>
      <c r="D10" s="262">
        <f>'Q 3'!E10</f>
        <v>0.1391414433958883</v>
      </c>
      <c r="E10" s="262" t="e">
        <f>'Q 4'!E10</f>
        <v>#DIV/0!</v>
      </c>
      <c r="F10" s="179">
        <f>(F7-F5)/F5</f>
        <v>-0.14301074627069493</v>
      </c>
      <c r="G10" s="212"/>
      <c r="H10" s="212"/>
      <c r="I10" s="211" t="s">
        <v>3</v>
      </c>
      <c r="J10" s="214">
        <f>GUIDELINES!F38</f>
        <v>30</v>
      </c>
      <c r="K10" s="207"/>
      <c r="L10" s="207"/>
    </row>
    <row r="11" spans="1:12" s="208" customFormat="1" ht="39.950000000000003" customHeight="1" thickBot="1">
      <c r="A11" s="217" t="s">
        <v>68</v>
      </c>
      <c r="B11" s="172" t="str">
        <f>'Q 1'!E11</f>
        <v>F</v>
      </c>
      <c r="C11" s="172" t="str">
        <f>'Q 2'!E11</f>
        <v>F</v>
      </c>
      <c r="D11" s="173" t="str">
        <f>'Q 3'!E11</f>
        <v>A</v>
      </c>
      <c r="E11" s="173" t="e">
        <f>'Q 4'!E11</f>
        <v>#DIV/0!</v>
      </c>
      <c r="F11" s="180" t="str">
        <f>IF(F10&gt;=10%,"A",IF(F10&gt;=7%,"B",IF(F10&gt;2%,"C",IF(F10&lt;2%,"F",))))</f>
        <v>F</v>
      </c>
      <c r="G11" s="212"/>
      <c r="H11" s="212"/>
      <c r="I11" s="211" t="s">
        <v>4</v>
      </c>
      <c r="J11" s="214">
        <f>GUIDELINES!H38</f>
        <v>20</v>
      </c>
      <c r="K11" s="207"/>
      <c r="L11" s="207"/>
    </row>
    <row r="12" spans="1:12" s="208" customFormat="1" ht="39.950000000000003" customHeight="1" thickBot="1">
      <c r="A12" s="217"/>
      <c r="B12" s="173">
        <f>'Q 1'!E12</f>
        <v>0</v>
      </c>
      <c r="C12" s="173">
        <f>'Q 2'!E12</f>
        <v>20</v>
      </c>
      <c r="D12" s="173" t="e">
        <f>'Q 3'!E12</f>
        <v>#DIV/0!</v>
      </c>
      <c r="E12" s="172" t="e">
        <f>'Q 4'!E12</f>
        <v>#DIV/0!</v>
      </c>
      <c r="F12" s="285" t="e">
        <f>SUM(B12:E12)</f>
        <v>#DIV/0!</v>
      </c>
      <c r="G12" s="212"/>
      <c r="H12" s="218"/>
      <c r="I12" s="213" t="s">
        <v>5</v>
      </c>
      <c r="J12" s="219">
        <v>0</v>
      </c>
      <c r="K12" s="220"/>
      <c r="L12" s="207"/>
    </row>
    <row r="13" spans="1:12" s="208" customFormat="1" ht="39.950000000000003" customHeight="1" thickBot="1">
      <c r="A13" s="217" t="s">
        <v>7</v>
      </c>
      <c r="B13" s="172">
        <f>'Q 1'!E13</f>
        <v>43591.26</v>
      </c>
      <c r="C13" s="172">
        <f>'Q 2'!E13</f>
        <v>45060.630000000005</v>
      </c>
      <c r="D13" s="173">
        <f>'Q 3'!E13</f>
        <v>3832.25</v>
      </c>
      <c r="E13" s="173">
        <f>'Q 4'!E13</f>
        <v>0</v>
      </c>
      <c r="F13" s="174">
        <f>SUM(B13:E13)</f>
        <v>92484.140000000014</v>
      </c>
      <c r="G13" s="221"/>
      <c r="H13" s="222"/>
      <c r="I13" s="223"/>
      <c r="J13" s="222"/>
      <c r="K13" s="224"/>
      <c r="L13" s="207"/>
    </row>
    <row r="14" spans="1:12" s="208" customFormat="1" ht="39.950000000000003" customHeight="1" thickBot="1">
      <c r="A14" s="217" t="s">
        <v>108</v>
      </c>
      <c r="B14" s="172">
        <f>'Q 1'!E14</f>
        <v>0</v>
      </c>
      <c r="C14" s="172">
        <f>'Q 2'!E14</f>
        <v>112.82</v>
      </c>
      <c r="D14" s="172">
        <f>'Q 3'!E14</f>
        <v>0</v>
      </c>
      <c r="E14" s="172">
        <f>'Q 4'!E14</f>
        <v>0</v>
      </c>
      <c r="F14" s="174">
        <f>SUM(B14:E14)</f>
        <v>112.82</v>
      </c>
      <c r="G14" s="221"/>
      <c r="H14" s="222"/>
      <c r="I14" s="223"/>
      <c r="J14" s="222"/>
      <c r="K14" s="224"/>
      <c r="L14" s="207"/>
    </row>
    <row r="15" spans="1:12" s="208" customFormat="1" ht="39.950000000000003" customHeight="1" thickBot="1">
      <c r="A15" s="217" t="s">
        <v>20</v>
      </c>
      <c r="B15" s="261">
        <f>'Q 1'!E15</f>
        <v>0.27600191847130129</v>
      </c>
      <c r="C15" s="261">
        <f>'Q 2'!E15</f>
        <v>0.28661275716790613</v>
      </c>
      <c r="D15" s="262">
        <f>'Q 3'!E15</f>
        <v>0.28038118232367576</v>
      </c>
      <c r="E15" s="262" t="e">
        <f>'Q 4'!E15</f>
        <v>#DIV/0!</v>
      </c>
      <c r="F15" s="179">
        <f>SUM(F13/F7)</f>
        <v>0.28125721700534934</v>
      </c>
      <c r="G15" s="225"/>
      <c r="H15" s="218"/>
      <c r="I15" s="226"/>
      <c r="J15" s="218"/>
      <c r="K15" s="227"/>
      <c r="L15" s="207"/>
    </row>
    <row r="16" spans="1:12" s="208" customFormat="1" ht="39.950000000000003" customHeight="1" thickBot="1">
      <c r="A16" s="217" t="s">
        <v>68</v>
      </c>
      <c r="B16" s="172" t="str">
        <f>'Q 1'!E16</f>
        <v>B</v>
      </c>
      <c r="C16" s="172" t="str">
        <f>'Q 2'!E16</f>
        <v>B</v>
      </c>
      <c r="D16" s="173" t="str">
        <f>'Q 3'!E16</f>
        <v>B</v>
      </c>
      <c r="E16" s="173" t="e">
        <f>'Q 4'!E16</f>
        <v>#DIV/0!</v>
      </c>
      <c r="F16" s="180" t="str">
        <f>IF(F15&lt;=27%,"A",IF(F15&lt;=30%,"B",IF(F15&lt;32%,"C",IF(F15&gt;=32%,"F",))))</f>
        <v>B</v>
      </c>
      <c r="G16" s="225"/>
      <c r="H16" s="218"/>
      <c r="I16" s="226"/>
      <c r="J16" s="218"/>
      <c r="K16" s="227"/>
      <c r="L16" s="207"/>
    </row>
    <row r="17" spans="1:12" s="208" customFormat="1" ht="39.950000000000003" customHeight="1" thickBot="1">
      <c r="A17" s="217"/>
      <c r="B17" s="173">
        <f>'Q 1'!E17</f>
        <v>110</v>
      </c>
      <c r="C17" s="173">
        <f>'Q 2'!E17</f>
        <v>90</v>
      </c>
      <c r="D17" s="173" t="e">
        <f>'Q 3'!E17</f>
        <v>#DIV/0!</v>
      </c>
      <c r="E17" s="172" t="e">
        <f>'Q 4'!E17</f>
        <v>#DIV/0!</v>
      </c>
      <c r="F17" s="285" t="e">
        <f>SUM(B17:E17)</f>
        <v>#DIV/0!</v>
      </c>
      <c r="G17" s="212"/>
      <c r="H17" s="228"/>
      <c r="I17" s="212"/>
      <c r="J17" s="229"/>
      <c r="K17" s="207"/>
      <c r="L17" s="207"/>
    </row>
    <row r="18" spans="1:12" s="208" customFormat="1" ht="39.950000000000003" customHeight="1" thickBot="1">
      <c r="A18" s="217" t="s">
        <v>19</v>
      </c>
      <c r="B18" s="172">
        <f>'Q 1'!E18</f>
        <v>38749.300000000003</v>
      </c>
      <c r="C18" s="172">
        <f>'Q 2'!E18</f>
        <v>31974.1</v>
      </c>
      <c r="D18" s="173">
        <f>'Q 3'!E18</f>
        <v>3060.2</v>
      </c>
      <c r="E18" s="173">
        <f>'Q 4'!E18</f>
        <v>0</v>
      </c>
      <c r="F18" s="174">
        <f>SUM(B18:E18)</f>
        <v>73783.599999999991</v>
      </c>
      <c r="G18" s="222"/>
      <c r="H18" s="230"/>
      <c r="I18" s="206"/>
      <c r="J18" s="231"/>
      <c r="K18" s="207"/>
      <c r="L18" s="207"/>
    </row>
    <row r="19" spans="1:12" s="208" customFormat="1" ht="39.950000000000003" customHeight="1" thickBot="1">
      <c r="A19" s="217" t="s">
        <v>16</v>
      </c>
      <c r="B19" s="261">
        <f>'Q 1'!E19</f>
        <v>0.2453446204450157</v>
      </c>
      <c r="C19" s="261">
        <f>'Q 2'!E19</f>
        <v>0.20337454134490232</v>
      </c>
      <c r="D19" s="262">
        <f>'Q 3'!E19</f>
        <v>0.2238952297336845</v>
      </c>
      <c r="E19" s="262" t="e">
        <f>'Q 4'!E19</f>
        <v>#DIV/0!</v>
      </c>
      <c r="F19" s="179">
        <f>SUM(F18/F7)</f>
        <v>0.22438625689373215</v>
      </c>
      <c r="G19" s="212"/>
      <c r="H19" s="232"/>
      <c r="I19" s="212"/>
      <c r="J19" s="229"/>
      <c r="K19" s="207"/>
      <c r="L19" s="207"/>
    </row>
    <row r="20" spans="1:12" s="208" customFormat="1" ht="39.950000000000003" customHeight="1" thickBot="1">
      <c r="A20" s="217" t="s">
        <v>68</v>
      </c>
      <c r="B20" s="172" t="str">
        <f>'Q 1'!E20</f>
        <v>C</v>
      </c>
      <c r="C20" s="172" t="str">
        <f>'Q 2'!E20</f>
        <v>B</v>
      </c>
      <c r="D20" s="173" t="str">
        <f>'Q 3'!E20</f>
        <v>B</v>
      </c>
      <c r="E20" s="173" t="e">
        <f>'Q 4'!E20</f>
        <v>#DIV/0!</v>
      </c>
      <c r="F20" s="181" t="str">
        <f>IF(F19&lt;=20%,"A",IF(F19&lt;=23%,"B",IF(F19&lt;25%,"C",IF(F19&gt;=25%,"F",IF))))</f>
        <v>B</v>
      </c>
      <c r="G20" s="212"/>
      <c r="H20" s="228"/>
      <c r="I20" s="218"/>
      <c r="J20" s="229"/>
      <c r="K20" s="207"/>
      <c r="L20" s="207"/>
    </row>
    <row r="21" spans="1:12" s="208" customFormat="1" ht="39.950000000000003" customHeight="1" thickBot="1">
      <c r="A21" s="217"/>
      <c r="B21" s="173">
        <f>'Q 1'!E21</f>
        <v>20</v>
      </c>
      <c r="C21" s="173">
        <f>'Q 2'!E21</f>
        <v>110</v>
      </c>
      <c r="D21" s="173" t="e">
        <f>'Q 3'!E21</f>
        <v>#DIV/0!</v>
      </c>
      <c r="E21" s="172" t="e">
        <f>'Q 4'!E21</f>
        <v>#DIV/0!</v>
      </c>
      <c r="F21" s="285" t="e">
        <f>SUM(B21:E21)</f>
        <v>#DIV/0!</v>
      </c>
      <c r="G21" s="212"/>
      <c r="H21" s="228"/>
      <c r="I21" s="218"/>
      <c r="J21" s="229"/>
      <c r="K21" s="207"/>
      <c r="L21" s="207"/>
    </row>
    <row r="22" spans="1:12" s="208" customFormat="1" ht="39.950000000000003" customHeight="1" thickBot="1">
      <c r="A22" s="297" t="s">
        <v>110</v>
      </c>
      <c r="B22" s="349">
        <f>'Q 1'!E22</f>
        <v>0.75333333333333341</v>
      </c>
      <c r="C22" s="349">
        <f>'Q 2'!E22</f>
        <v>0.61233333333333329</v>
      </c>
      <c r="D22" s="350" t="e">
        <f>'Q 3'!E22</f>
        <v>#DIV/0!</v>
      </c>
      <c r="E22" s="349" t="e">
        <f>'Q 4'!E22</f>
        <v>#DIV/0!</v>
      </c>
      <c r="F22" s="348" t="e">
        <f>AVERAGE(B22:E22)</f>
        <v>#DIV/0!</v>
      </c>
      <c r="G22" s="212"/>
      <c r="H22" s="228"/>
      <c r="I22" s="218"/>
      <c r="J22" s="229"/>
      <c r="K22" s="207"/>
      <c r="L22" s="207"/>
    </row>
    <row r="23" spans="1:12" s="208" customFormat="1" ht="39.950000000000003" customHeight="1" thickBot="1">
      <c r="A23" s="217" t="s">
        <v>9</v>
      </c>
      <c r="B23" s="261">
        <f>'Q 1'!E23</f>
        <v>0.70666666666666655</v>
      </c>
      <c r="C23" s="261">
        <f>'Q 2'!E23</f>
        <v>0.50633333333333341</v>
      </c>
      <c r="D23" s="262" t="e">
        <f>'Q 3'!E23</f>
        <v>#DIV/0!</v>
      </c>
      <c r="E23" s="262" t="e">
        <f>'Q 4'!E23</f>
        <v>#DIV/0!</v>
      </c>
      <c r="F23" s="342" t="e">
        <f>AVERAGE(B23:E23)</f>
        <v>#DIV/0!</v>
      </c>
      <c r="G23" s="222"/>
      <c r="H23" s="222"/>
      <c r="I23" s="206"/>
      <c r="J23" s="206"/>
      <c r="K23" s="207"/>
      <c r="L23" s="207"/>
    </row>
    <row r="24" spans="1:12" s="216" customFormat="1" ht="39.950000000000003" customHeight="1" thickBot="1">
      <c r="A24" s="217" t="s">
        <v>22</v>
      </c>
      <c r="B24" s="172">
        <f>'Q 1'!E24</f>
        <v>-50</v>
      </c>
      <c r="C24" s="172">
        <f>'Q 2'!E24</f>
        <v>-75</v>
      </c>
      <c r="D24" s="173" t="e">
        <f>'Q 3'!E24</f>
        <v>#DIV/0!</v>
      </c>
      <c r="E24" s="173" t="e">
        <f>'Q 4'!E24</f>
        <v>#DIV/0!</v>
      </c>
      <c r="F24" s="258" t="e">
        <f>SUM(B24+C24+D24+E24)</f>
        <v>#DIV/0!</v>
      </c>
      <c r="G24" s="233" t="e">
        <f>SUM(F12+F17+F21)</f>
        <v>#DIV/0!</v>
      </c>
      <c r="H24" s="234" t="s">
        <v>2</v>
      </c>
      <c r="I24" s="235" t="e">
        <f>SUM(G26*1.5)</f>
        <v>#DIV/0!</v>
      </c>
      <c r="J24" s="212"/>
      <c r="K24" s="215"/>
      <c r="L24" s="215"/>
    </row>
    <row r="25" spans="1:12" s="208" customFormat="1" ht="39.950000000000003" customHeight="1" thickBot="1">
      <c r="A25" s="331" t="s">
        <v>18</v>
      </c>
      <c r="B25" s="172">
        <f>'Q 1'!E25</f>
        <v>-5.0100000000000007</v>
      </c>
      <c r="C25" s="172">
        <f>'Q 2'!E25</f>
        <v>-1.35</v>
      </c>
      <c r="D25" s="173">
        <f>'Q 3'!E25</f>
        <v>0</v>
      </c>
      <c r="E25" s="173">
        <f>'Q 4'!E25</f>
        <v>0</v>
      </c>
      <c r="F25" s="174">
        <f>SUM(B25:E25)</f>
        <v>-6.3600000000000012</v>
      </c>
      <c r="G25" s="233" t="e">
        <f>SUM(F24+F26)</f>
        <v>#DIV/0!</v>
      </c>
      <c r="H25" s="236" t="s">
        <v>3</v>
      </c>
      <c r="I25" s="233" t="e">
        <f>SUM(G26*1.25)</f>
        <v>#DIV/0!</v>
      </c>
      <c r="J25" s="206"/>
      <c r="K25" s="237"/>
      <c r="L25" s="207"/>
    </row>
    <row r="26" spans="1:12" s="216" customFormat="1" ht="39.950000000000003" customHeight="1" thickBot="1">
      <c r="A26" s="217" t="s">
        <v>22</v>
      </c>
      <c r="B26" s="172">
        <f>'Q 1'!E26</f>
        <v>-5.0100000000000007</v>
      </c>
      <c r="C26" s="172">
        <f>'Q 2'!E26</f>
        <v>-1.35</v>
      </c>
      <c r="D26" s="173">
        <f>'Q 3'!E26</f>
        <v>0</v>
      </c>
      <c r="E26" s="173">
        <f>'Q 4'!E26</f>
        <v>0</v>
      </c>
      <c r="F26" s="257">
        <f t="shared" ref="F26" si="0">F25</f>
        <v>-6.3600000000000012</v>
      </c>
      <c r="G26" s="238" t="e">
        <f>SUM(+G8+G24+G25)</f>
        <v>#DIV/0!</v>
      </c>
      <c r="H26" s="234" t="s">
        <v>4</v>
      </c>
      <c r="I26" s="239" t="e">
        <f>SUM(G26*1)</f>
        <v>#DIV/0!</v>
      </c>
      <c r="J26" s="226"/>
      <c r="K26" s="240"/>
      <c r="L26" s="215"/>
    </row>
    <row r="27" spans="1:12" s="208" customFormat="1" ht="39.950000000000003" customHeight="1" thickBot="1">
      <c r="A27" s="241"/>
      <c r="B27" s="182"/>
      <c r="C27" s="182"/>
      <c r="D27" s="182"/>
      <c r="E27" s="182"/>
      <c r="F27" s="286" t="e">
        <f>SUM('Q 1'!E27+'Q 2'!E27+'Q 3'!E27+'Q 4'!E27)</f>
        <v>#DIV/0!</v>
      </c>
      <c r="G27" s="212"/>
      <c r="H27" s="223"/>
      <c r="I27" s="242"/>
      <c r="J27" s="242"/>
      <c r="K27" s="243"/>
      <c r="L27" s="207"/>
    </row>
    <row r="28" spans="1:12" s="216" customFormat="1" ht="39.950000000000003" customHeight="1" thickBot="1">
      <c r="A28" s="335"/>
      <c r="B28" s="183"/>
      <c r="C28" s="183"/>
      <c r="D28" s="183"/>
      <c r="E28" s="183"/>
      <c r="F28" s="184"/>
      <c r="G28" s="212"/>
      <c r="H28" s="226"/>
      <c r="I28" s="226"/>
      <c r="J28" s="242"/>
      <c r="K28" s="240"/>
      <c r="L28" s="215"/>
    </row>
    <row r="29" spans="1:12" s="208" customFormat="1" ht="39.950000000000003" customHeight="1" thickBot="1">
      <c r="A29" s="332" t="s">
        <v>71</v>
      </c>
      <c r="B29" s="172"/>
      <c r="C29" s="172"/>
      <c r="D29" s="287" t="e">
        <f>SUM('Q 1'!C29+'Q 2'!C29+'Q 3'!C29+'Q 4'!C29)</f>
        <v>#DIV/0!</v>
      </c>
      <c r="E29" s="185"/>
      <c r="F29" s="186" t="e">
        <f>IF(#REF!="FAIL","$0.00",IF(#REF!="PASS",F27,))</f>
        <v>#REF!</v>
      </c>
      <c r="G29" s="212"/>
      <c r="H29" s="212"/>
      <c r="I29" s="212"/>
      <c r="J29" s="212"/>
      <c r="K29" s="207"/>
      <c r="L29" s="207"/>
    </row>
    <row r="30" spans="1:12" s="208" customFormat="1" ht="39.950000000000003" customHeight="1" thickBot="1">
      <c r="A30" s="332" t="s">
        <v>72</v>
      </c>
      <c r="B30" s="187"/>
      <c r="C30" s="187"/>
      <c r="D30" s="287" t="e">
        <f>SUM('Q 1'!C30+'Q 2'!C30+'Q 3'!C30+'Q 4'!C30)</f>
        <v>#NAME?</v>
      </c>
      <c r="E30" s="188"/>
      <c r="F30" s="189"/>
      <c r="G30" s="212"/>
      <c r="H30" s="212"/>
      <c r="I30" s="212"/>
      <c r="J30" s="212"/>
      <c r="K30" s="207"/>
      <c r="L30" s="207"/>
    </row>
    <row r="31" spans="1:12">
      <c r="B31" s="245"/>
      <c r="C31" s="245"/>
      <c r="D31" s="245"/>
    </row>
    <row r="32" spans="1:12">
      <c r="B32" s="245"/>
      <c r="C32" s="245"/>
      <c r="D32" s="245"/>
    </row>
    <row r="33" spans="2:4">
      <c r="B33" s="245"/>
      <c r="C33" s="245"/>
      <c r="D33" s="245"/>
    </row>
    <row r="34" spans="2:4">
      <c r="B34" s="245"/>
      <c r="C34" s="245"/>
      <c r="D34" s="245"/>
    </row>
    <row r="35" spans="2:4">
      <c r="B35" s="245"/>
      <c r="C35" s="245"/>
      <c r="D35" s="245"/>
    </row>
    <row r="36" spans="2:4">
      <c r="B36" s="246"/>
      <c r="C36" s="246"/>
      <c r="D36" s="245"/>
    </row>
    <row r="37" spans="2:4">
      <c r="B37" s="245"/>
      <c r="C37" s="245"/>
      <c r="D37" s="245"/>
    </row>
    <row r="38" spans="2:4">
      <c r="B38" s="245"/>
      <c r="C38" s="245"/>
      <c r="D38" s="245"/>
    </row>
    <row r="39" spans="2:4">
      <c r="B39" s="245"/>
      <c r="C39" s="245"/>
      <c r="D39" s="245"/>
    </row>
    <row r="40" spans="2:4">
      <c r="B40" s="245"/>
      <c r="C40" s="245"/>
      <c r="D40" s="245"/>
    </row>
    <row r="41" spans="2:4">
      <c r="B41" s="245"/>
      <c r="C41" s="245"/>
      <c r="D41" s="245"/>
    </row>
    <row r="42" spans="2:4">
      <c r="B42" s="245"/>
      <c r="C42" s="245"/>
      <c r="D42" s="245"/>
    </row>
  </sheetData>
  <sheetProtection algorithmName="SHA-512" hashValue="z8p2MPkCJqz9XdzhM1yyA0yQn/W8kjyOzFSZqbwLZFX6gWAjpUkiXJSvZf3t38ogWm5X4w8xGUGt6vjWRGvZxw==" saltValue="nwYsqqVin47TP1CbkCeZtg==" spinCount="100000" sheet="1" objects="1" scenarios="1"/>
  <conditionalFormatting sqref="F19">
    <cfRule type="cellIs" dxfId="27" priority="38" stopIfTrue="1" operator="greaterThanOrEqual">
      <formula>0.27</formula>
    </cfRule>
    <cfRule type="cellIs" dxfId="26" priority="39" stopIfTrue="1" operator="between">
      <formula>0.23</formula>
      <formula>0.25</formula>
    </cfRule>
    <cfRule type="cellIs" dxfId="25" priority="40" stopIfTrue="1" operator="lessThan">
      <formula>0.2</formula>
    </cfRule>
    <cfRule type="cellIs" dxfId="24" priority="48" stopIfTrue="1" operator="between">
      <formula>0.2</formula>
      <formula>0.2299</formula>
    </cfRule>
  </conditionalFormatting>
  <conditionalFormatting sqref="F15">
    <cfRule type="cellIs" dxfId="23" priority="47" stopIfTrue="1" operator="between">
      <formula>0.3</formula>
      <formula>0.32</formula>
    </cfRule>
  </conditionalFormatting>
  <conditionalFormatting sqref="F10">
    <cfRule type="cellIs" dxfId="22" priority="44" stopIfTrue="1" operator="greaterThan">
      <formula>0.1</formula>
    </cfRule>
    <cfRule type="cellIs" dxfId="21" priority="45" stopIfTrue="1" operator="greaterThan">
      <formula>0.07</formula>
    </cfRule>
    <cfRule type="cellIs" dxfId="20" priority="46" stopIfTrue="1" operator="greaterThan">
      <formula>0.02</formula>
    </cfRule>
  </conditionalFormatting>
  <conditionalFormatting sqref="F15">
    <cfRule type="cellIs" dxfId="19" priority="41" stopIfTrue="1" operator="greaterThanOrEqual">
      <formula>0.32</formula>
    </cfRule>
    <cfRule type="cellIs" dxfId="18" priority="42" stopIfTrue="1" operator="between">
      <formula>0.27</formula>
      <formula>0.3</formula>
    </cfRule>
    <cfRule type="cellIs" dxfId="17" priority="43" stopIfTrue="1" operator="lessThanOrEqual">
      <formula>0.27</formula>
    </cfRule>
  </conditionalFormatting>
  <conditionalFormatting sqref="F24">
    <cfRule type="cellIs" dxfId="16" priority="37" stopIfTrue="1" operator="greaterThan">
      <formula>10</formula>
    </cfRule>
  </conditionalFormatting>
  <conditionalFormatting sqref="B27:E27 F26 B28:F28">
    <cfRule type="cellIs" dxfId="15" priority="36" stopIfTrue="1" operator="lessThan">
      <formula>0</formula>
    </cfRule>
  </conditionalFormatting>
  <conditionalFormatting sqref="F10">
    <cfRule type="cellIs" dxfId="14" priority="35" stopIfTrue="1" operator="lessThanOrEqual">
      <formula>0.02</formula>
    </cfRule>
  </conditionalFormatting>
  <conditionalFormatting sqref="F11:F12 F16 F20">
    <cfRule type="cellIs" dxfId="13" priority="31" stopIfTrue="1" operator="equal">
      <formula>"F"</formula>
    </cfRule>
    <cfRule type="cellIs" dxfId="12" priority="32" stopIfTrue="1" operator="equal">
      <formula>"C"</formula>
    </cfRule>
    <cfRule type="cellIs" dxfId="11" priority="33" stopIfTrue="1" operator="equal">
      <formula>"B"</formula>
    </cfRule>
    <cfRule type="cellIs" dxfId="10" priority="34" stopIfTrue="1" operator="equal">
      <formula>"A"</formula>
    </cfRule>
  </conditionalFormatting>
  <conditionalFormatting sqref="G24">
    <cfRule type="cellIs" dxfId="9" priority="30" stopIfTrue="1" operator="lessThan">
      <formula>0</formula>
    </cfRule>
  </conditionalFormatting>
  <conditionalFormatting sqref="H24:H26">
    <cfRule type="cellIs" dxfId="8" priority="21" stopIfTrue="1" operator="lessThan">
      <formula>0</formula>
    </cfRule>
  </conditionalFormatting>
  <conditionalFormatting sqref="F21:F22">
    <cfRule type="cellIs" dxfId="7" priority="5" stopIfTrue="1" operator="equal">
      <formula>"F"</formula>
    </cfRule>
    <cfRule type="cellIs" dxfId="6" priority="6" stopIfTrue="1" operator="equal">
      <formula>"C"</formula>
    </cfRule>
    <cfRule type="cellIs" dxfId="5" priority="7" stopIfTrue="1" operator="equal">
      <formula>"B"</formula>
    </cfRule>
    <cfRule type="cellIs" dxfId="4" priority="8" stopIfTrue="1" operator="equal">
      <formula>"A"</formula>
    </cfRule>
  </conditionalFormatting>
  <conditionalFormatting sqref="F17">
    <cfRule type="cellIs" dxfId="3" priority="1" stopIfTrue="1" operator="equal">
      <formula>"F"</formula>
    </cfRule>
    <cfRule type="cellIs" dxfId="2" priority="2" stopIfTrue="1" operator="equal">
      <formula>"C"</formula>
    </cfRule>
    <cfRule type="cellIs" dxfId="1" priority="3" stopIfTrue="1" operator="equal">
      <formula>"B"</formula>
    </cfRule>
    <cfRule type="cellIs" dxfId="0" priority="4" stopIfTrue="1" operator="equal">
      <formula>"A"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1" workbookViewId="0">
      <selection activeCell="N26" sqref="N26"/>
    </sheetView>
  </sheetViews>
  <sheetFormatPr defaultRowHeight="15"/>
  <cols>
    <col min="1" max="1" width="7.140625" style="354" bestFit="1" customWidth="1"/>
    <col min="2" max="2" width="14.85546875" style="354" customWidth="1"/>
    <col min="3" max="3" width="16.140625" style="354" customWidth="1"/>
    <col min="4" max="4" width="0" style="354" hidden="1" customWidth="1"/>
    <col min="5" max="5" width="3.5703125" style="354" customWidth="1"/>
    <col min="6" max="256" width="9.140625" style="354"/>
    <col min="257" max="257" width="7.140625" style="354" bestFit="1" customWidth="1"/>
    <col min="258" max="258" width="14.85546875" style="354" customWidth="1"/>
    <col min="259" max="259" width="16.140625" style="354" customWidth="1"/>
    <col min="260" max="260" width="0" style="354" hidden="1" customWidth="1"/>
    <col min="261" max="261" width="3.5703125" style="354" customWidth="1"/>
    <col min="262" max="512" width="9.140625" style="354"/>
    <col min="513" max="513" width="7.140625" style="354" bestFit="1" customWidth="1"/>
    <col min="514" max="514" width="14.85546875" style="354" customWidth="1"/>
    <col min="515" max="515" width="16.140625" style="354" customWidth="1"/>
    <col min="516" max="516" width="0" style="354" hidden="1" customWidth="1"/>
    <col min="517" max="517" width="3.5703125" style="354" customWidth="1"/>
    <col min="518" max="768" width="9.140625" style="354"/>
    <col min="769" max="769" width="7.140625" style="354" bestFit="1" customWidth="1"/>
    <col min="770" max="770" width="14.85546875" style="354" customWidth="1"/>
    <col min="771" max="771" width="16.140625" style="354" customWidth="1"/>
    <col min="772" max="772" width="0" style="354" hidden="1" customWidth="1"/>
    <col min="773" max="773" width="3.5703125" style="354" customWidth="1"/>
    <col min="774" max="1024" width="9.140625" style="354"/>
    <col min="1025" max="1025" width="7.140625" style="354" bestFit="1" customWidth="1"/>
    <col min="1026" max="1026" width="14.85546875" style="354" customWidth="1"/>
    <col min="1027" max="1027" width="16.140625" style="354" customWidth="1"/>
    <col min="1028" max="1028" width="0" style="354" hidden="1" customWidth="1"/>
    <col min="1029" max="1029" width="3.5703125" style="354" customWidth="1"/>
    <col min="1030" max="1280" width="9.140625" style="354"/>
    <col min="1281" max="1281" width="7.140625" style="354" bestFit="1" customWidth="1"/>
    <col min="1282" max="1282" width="14.85546875" style="354" customWidth="1"/>
    <col min="1283" max="1283" width="16.140625" style="354" customWidth="1"/>
    <col min="1284" max="1284" width="0" style="354" hidden="1" customWidth="1"/>
    <col min="1285" max="1285" width="3.5703125" style="354" customWidth="1"/>
    <col min="1286" max="1536" width="9.140625" style="354"/>
    <col min="1537" max="1537" width="7.140625" style="354" bestFit="1" customWidth="1"/>
    <col min="1538" max="1538" width="14.85546875" style="354" customWidth="1"/>
    <col min="1539" max="1539" width="16.140625" style="354" customWidth="1"/>
    <col min="1540" max="1540" width="0" style="354" hidden="1" customWidth="1"/>
    <col min="1541" max="1541" width="3.5703125" style="354" customWidth="1"/>
    <col min="1542" max="1792" width="9.140625" style="354"/>
    <col min="1793" max="1793" width="7.140625" style="354" bestFit="1" customWidth="1"/>
    <col min="1794" max="1794" width="14.85546875" style="354" customWidth="1"/>
    <col min="1795" max="1795" width="16.140625" style="354" customWidth="1"/>
    <col min="1796" max="1796" width="0" style="354" hidden="1" customWidth="1"/>
    <col min="1797" max="1797" width="3.5703125" style="354" customWidth="1"/>
    <col min="1798" max="2048" width="9.140625" style="354"/>
    <col min="2049" max="2049" width="7.140625" style="354" bestFit="1" customWidth="1"/>
    <col min="2050" max="2050" width="14.85546875" style="354" customWidth="1"/>
    <col min="2051" max="2051" width="16.140625" style="354" customWidth="1"/>
    <col min="2052" max="2052" width="0" style="354" hidden="1" customWidth="1"/>
    <col min="2053" max="2053" width="3.5703125" style="354" customWidth="1"/>
    <col min="2054" max="2304" width="9.140625" style="354"/>
    <col min="2305" max="2305" width="7.140625" style="354" bestFit="1" customWidth="1"/>
    <col min="2306" max="2306" width="14.85546875" style="354" customWidth="1"/>
    <col min="2307" max="2307" width="16.140625" style="354" customWidth="1"/>
    <col min="2308" max="2308" width="0" style="354" hidden="1" customWidth="1"/>
    <col min="2309" max="2309" width="3.5703125" style="354" customWidth="1"/>
    <col min="2310" max="2560" width="9.140625" style="354"/>
    <col min="2561" max="2561" width="7.140625" style="354" bestFit="1" customWidth="1"/>
    <col min="2562" max="2562" width="14.85546875" style="354" customWidth="1"/>
    <col min="2563" max="2563" width="16.140625" style="354" customWidth="1"/>
    <col min="2564" max="2564" width="0" style="354" hidden="1" customWidth="1"/>
    <col min="2565" max="2565" width="3.5703125" style="354" customWidth="1"/>
    <col min="2566" max="2816" width="9.140625" style="354"/>
    <col min="2817" max="2817" width="7.140625" style="354" bestFit="1" customWidth="1"/>
    <col min="2818" max="2818" width="14.85546875" style="354" customWidth="1"/>
    <col min="2819" max="2819" width="16.140625" style="354" customWidth="1"/>
    <col min="2820" max="2820" width="0" style="354" hidden="1" customWidth="1"/>
    <col min="2821" max="2821" width="3.5703125" style="354" customWidth="1"/>
    <col min="2822" max="3072" width="9.140625" style="354"/>
    <col min="3073" max="3073" width="7.140625" style="354" bestFit="1" customWidth="1"/>
    <col min="3074" max="3074" width="14.85546875" style="354" customWidth="1"/>
    <col min="3075" max="3075" width="16.140625" style="354" customWidth="1"/>
    <col min="3076" max="3076" width="0" style="354" hidden="1" customWidth="1"/>
    <col min="3077" max="3077" width="3.5703125" style="354" customWidth="1"/>
    <col min="3078" max="3328" width="9.140625" style="354"/>
    <col min="3329" max="3329" width="7.140625" style="354" bestFit="1" customWidth="1"/>
    <col min="3330" max="3330" width="14.85546875" style="354" customWidth="1"/>
    <col min="3331" max="3331" width="16.140625" style="354" customWidth="1"/>
    <col min="3332" max="3332" width="0" style="354" hidden="1" customWidth="1"/>
    <col min="3333" max="3333" width="3.5703125" style="354" customWidth="1"/>
    <col min="3334" max="3584" width="9.140625" style="354"/>
    <col min="3585" max="3585" width="7.140625" style="354" bestFit="1" customWidth="1"/>
    <col min="3586" max="3586" width="14.85546875" style="354" customWidth="1"/>
    <col min="3587" max="3587" width="16.140625" style="354" customWidth="1"/>
    <col min="3588" max="3588" width="0" style="354" hidden="1" customWidth="1"/>
    <col min="3589" max="3589" width="3.5703125" style="354" customWidth="1"/>
    <col min="3590" max="3840" width="9.140625" style="354"/>
    <col min="3841" max="3841" width="7.140625" style="354" bestFit="1" customWidth="1"/>
    <col min="3842" max="3842" width="14.85546875" style="354" customWidth="1"/>
    <col min="3843" max="3843" width="16.140625" style="354" customWidth="1"/>
    <col min="3844" max="3844" width="0" style="354" hidden="1" customWidth="1"/>
    <col min="3845" max="3845" width="3.5703125" style="354" customWidth="1"/>
    <col min="3846" max="4096" width="9.140625" style="354"/>
    <col min="4097" max="4097" width="7.140625" style="354" bestFit="1" customWidth="1"/>
    <col min="4098" max="4098" width="14.85546875" style="354" customWidth="1"/>
    <col min="4099" max="4099" width="16.140625" style="354" customWidth="1"/>
    <col min="4100" max="4100" width="0" style="354" hidden="1" customWidth="1"/>
    <col min="4101" max="4101" width="3.5703125" style="354" customWidth="1"/>
    <col min="4102" max="4352" width="9.140625" style="354"/>
    <col min="4353" max="4353" width="7.140625" style="354" bestFit="1" customWidth="1"/>
    <col min="4354" max="4354" width="14.85546875" style="354" customWidth="1"/>
    <col min="4355" max="4355" width="16.140625" style="354" customWidth="1"/>
    <col min="4356" max="4356" width="0" style="354" hidden="1" customWidth="1"/>
    <col min="4357" max="4357" width="3.5703125" style="354" customWidth="1"/>
    <col min="4358" max="4608" width="9.140625" style="354"/>
    <col min="4609" max="4609" width="7.140625" style="354" bestFit="1" customWidth="1"/>
    <col min="4610" max="4610" width="14.85546875" style="354" customWidth="1"/>
    <col min="4611" max="4611" width="16.140625" style="354" customWidth="1"/>
    <col min="4612" max="4612" width="0" style="354" hidden="1" customWidth="1"/>
    <col min="4613" max="4613" width="3.5703125" style="354" customWidth="1"/>
    <col min="4614" max="4864" width="9.140625" style="354"/>
    <col min="4865" max="4865" width="7.140625" style="354" bestFit="1" customWidth="1"/>
    <col min="4866" max="4866" width="14.85546875" style="354" customWidth="1"/>
    <col min="4867" max="4867" width="16.140625" style="354" customWidth="1"/>
    <col min="4868" max="4868" width="0" style="354" hidden="1" customWidth="1"/>
    <col min="4869" max="4869" width="3.5703125" style="354" customWidth="1"/>
    <col min="4870" max="5120" width="9.140625" style="354"/>
    <col min="5121" max="5121" width="7.140625" style="354" bestFit="1" customWidth="1"/>
    <col min="5122" max="5122" width="14.85546875" style="354" customWidth="1"/>
    <col min="5123" max="5123" width="16.140625" style="354" customWidth="1"/>
    <col min="5124" max="5124" width="0" style="354" hidden="1" customWidth="1"/>
    <col min="5125" max="5125" width="3.5703125" style="354" customWidth="1"/>
    <col min="5126" max="5376" width="9.140625" style="354"/>
    <col min="5377" max="5377" width="7.140625" style="354" bestFit="1" customWidth="1"/>
    <col min="5378" max="5378" width="14.85546875" style="354" customWidth="1"/>
    <col min="5379" max="5379" width="16.140625" style="354" customWidth="1"/>
    <col min="5380" max="5380" width="0" style="354" hidden="1" customWidth="1"/>
    <col min="5381" max="5381" width="3.5703125" style="354" customWidth="1"/>
    <col min="5382" max="5632" width="9.140625" style="354"/>
    <col min="5633" max="5633" width="7.140625" style="354" bestFit="1" customWidth="1"/>
    <col min="5634" max="5634" width="14.85546875" style="354" customWidth="1"/>
    <col min="5635" max="5635" width="16.140625" style="354" customWidth="1"/>
    <col min="5636" max="5636" width="0" style="354" hidden="1" customWidth="1"/>
    <col min="5637" max="5637" width="3.5703125" style="354" customWidth="1"/>
    <col min="5638" max="5888" width="9.140625" style="354"/>
    <col min="5889" max="5889" width="7.140625" style="354" bestFit="1" customWidth="1"/>
    <col min="5890" max="5890" width="14.85546875" style="354" customWidth="1"/>
    <col min="5891" max="5891" width="16.140625" style="354" customWidth="1"/>
    <col min="5892" max="5892" width="0" style="354" hidden="1" customWidth="1"/>
    <col min="5893" max="5893" width="3.5703125" style="354" customWidth="1"/>
    <col min="5894" max="6144" width="9.140625" style="354"/>
    <col min="6145" max="6145" width="7.140625" style="354" bestFit="1" customWidth="1"/>
    <col min="6146" max="6146" width="14.85546875" style="354" customWidth="1"/>
    <col min="6147" max="6147" width="16.140625" style="354" customWidth="1"/>
    <col min="6148" max="6148" width="0" style="354" hidden="1" customWidth="1"/>
    <col min="6149" max="6149" width="3.5703125" style="354" customWidth="1"/>
    <col min="6150" max="6400" width="9.140625" style="354"/>
    <col min="6401" max="6401" width="7.140625" style="354" bestFit="1" customWidth="1"/>
    <col min="6402" max="6402" width="14.85546875" style="354" customWidth="1"/>
    <col min="6403" max="6403" width="16.140625" style="354" customWidth="1"/>
    <col min="6404" max="6404" width="0" style="354" hidden="1" customWidth="1"/>
    <col min="6405" max="6405" width="3.5703125" style="354" customWidth="1"/>
    <col min="6406" max="6656" width="9.140625" style="354"/>
    <col min="6657" max="6657" width="7.140625" style="354" bestFit="1" customWidth="1"/>
    <col min="6658" max="6658" width="14.85546875" style="354" customWidth="1"/>
    <col min="6659" max="6659" width="16.140625" style="354" customWidth="1"/>
    <col min="6660" max="6660" width="0" style="354" hidden="1" customWidth="1"/>
    <col min="6661" max="6661" width="3.5703125" style="354" customWidth="1"/>
    <col min="6662" max="6912" width="9.140625" style="354"/>
    <col min="6913" max="6913" width="7.140625" style="354" bestFit="1" customWidth="1"/>
    <col min="6914" max="6914" width="14.85546875" style="354" customWidth="1"/>
    <col min="6915" max="6915" width="16.140625" style="354" customWidth="1"/>
    <col min="6916" max="6916" width="0" style="354" hidden="1" customWidth="1"/>
    <col min="6917" max="6917" width="3.5703125" style="354" customWidth="1"/>
    <col min="6918" max="7168" width="9.140625" style="354"/>
    <col min="7169" max="7169" width="7.140625" style="354" bestFit="1" customWidth="1"/>
    <col min="7170" max="7170" width="14.85546875" style="354" customWidth="1"/>
    <col min="7171" max="7171" width="16.140625" style="354" customWidth="1"/>
    <col min="7172" max="7172" width="0" style="354" hidden="1" customWidth="1"/>
    <col min="7173" max="7173" width="3.5703125" style="354" customWidth="1"/>
    <col min="7174" max="7424" width="9.140625" style="354"/>
    <col min="7425" max="7425" width="7.140625" style="354" bestFit="1" customWidth="1"/>
    <col min="7426" max="7426" width="14.85546875" style="354" customWidth="1"/>
    <col min="7427" max="7427" width="16.140625" style="354" customWidth="1"/>
    <col min="7428" max="7428" width="0" style="354" hidden="1" customWidth="1"/>
    <col min="7429" max="7429" width="3.5703125" style="354" customWidth="1"/>
    <col min="7430" max="7680" width="9.140625" style="354"/>
    <col min="7681" max="7681" width="7.140625" style="354" bestFit="1" customWidth="1"/>
    <col min="7682" max="7682" width="14.85546875" style="354" customWidth="1"/>
    <col min="7683" max="7683" width="16.140625" style="354" customWidth="1"/>
    <col min="7684" max="7684" width="0" style="354" hidden="1" customWidth="1"/>
    <col min="7685" max="7685" width="3.5703125" style="354" customWidth="1"/>
    <col min="7686" max="7936" width="9.140625" style="354"/>
    <col min="7937" max="7937" width="7.140625" style="354" bestFit="1" customWidth="1"/>
    <col min="7938" max="7938" width="14.85546875" style="354" customWidth="1"/>
    <col min="7939" max="7939" width="16.140625" style="354" customWidth="1"/>
    <col min="7940" max="7940" width="0" style="354" hidden="1" customWidth="1"/>
    <col min="7941" max="7941" width="3.5703125" style="354" customWidth="1"/>
    <col min="7942" max="8192" width="9.140625" style="354"/>
    <col min="8193" max="8193" width="7.140625" style="354" bestFit="1" customWidth="1"/>
    <col min="8194" max="8194" width="14.85546875" style="354" customWidth="1"/>
    <col min="8195" max="8195" width="16.140625" style="354" customWidth="1"/>
    <col min="8196" max="8196" width="0" style="354" hidden="1" customWidth="1"/>
    <col min="8197" max="8197" width="3.5703125" style="354" customWidth="1"/>
    <col min="8198" max="8448" width="9.140625" style="354"/>
    <col min="8449" max="8449" width="7.140625" style="354" bestFit="1" customWidth="1"/>
    <col min="8450" max="8450" width="14.85546875" style="354" customWidth="1"/>
    <col min="8451" max="8451" width="16.140625" style="354" customWidth="1"/>
    <col min="8452" max="8452" width="0" style="354" hidden="1" customWidth="1"/>
    <col min="8453" max="8453" width="3.5703125" style="354" customWidth="1"/>
    <col min="8454" max="8704" width="9.140625" style="354"/>
    <col min="8705" max="8705" width="7.140625" style="354" bestFit="1" customWidth="1"/>
    <col min="8706" max="8706" width="14.85546875" style="354" customWidth="1"/>
    <col min="8707" max="8707" width="16.140625" style="354" customWidth="1"/>
    <col min="8708" max="8708" width="0" style="354" hidden="1" customWidth="1"/>
    <col min="8709" max="8709" width="3.5703125" style="354" customWidth="1"/>
    <col min="8710" max="8960" width="9.140625" style="354"/>
    <col min="8961" max="8961" width="7.140625" style="354" bestFit="1" customWidth="1"/>
    <col min="8962" max="8962" width="14.85546875" style="354" customWidth="1"/>
    <col min="8963" max="8963" width="16.140625" style="354" customWidth="1"/>
    <col min="8964" max="8964" width="0" style="354" hidden="1" customWidth="1"/>
    <col min="8965" max="8965" width="3.5703125" style="354" customWidth="1"/>
    <col min="8966" max="9216" width="9.140625" style="354"/>
    <col min="9217" max="9217" width="7.140625" style="354" bestFit="1" customWidth="1"/>
    <col min="9218" max="9218" width="14.85546875" style="354" customWidth="1"/>
    <col min="9219" max="9219" width="16.140625" style="354" customWidth="1"/>
    <col min="9220" max="9220" width="0" style="354" hidden="1" customWidth="1"/>
    <col min="9221" max="9221" width="3.5703125" style="354" customWidth="1"/>
    <col min="9222" max="9472" width="9.140625" style="354"/>
    <col min="9473" max="9473" width="7.140625" style="354" bestFit="1" customWidth="1"/>
    <col min="9474" max="9474" width="14.85546875" style="354" customWidth="1"/>
    <col min="9475" max="9475" width="16.140625" style="354" customWidth="1"/>
    <col min="9476" max="9476" width="0" style="354" hidden="1" customWidth="1"/>
    <col min="9477" max="9477" width="3.5703125" style="354" customWidth="1"/>
    <col min="9478" max="9728" width="9.140625" style="354"/>
    <col min="9729" max="9729" width="7.140625" style="354" bestFit="1" customWidth="1"/>
    <col min="9730" max="9730" width="14.85546875" style="354" customWidth="1"/>
    <col min="9731" max="9731" width="16.140625" style="354" customWidth="1"/>
    <col min="9732" max="9732" width="0" style="354" hidden="1" customWidth="1"/>
    <col min="9733" max="9733" width="3.5703125" style="354" customWidth="1"/>
    <col min="9734" max="9984" width="9.140625" style="354"/>
    <col min="9985" max="9985" width="7.140625" style="354" bestFit="1" customWidth="1"/>
    <col min="9986" max="9986" width="14.85546875" style="354" customWidth="1"/>
    <col min="9987" max="9987" width="16.140625" style="354" customWidth="1"/>
    <col min="9988" max="9988" width="0" style="354" hidden="1" customWidth="1"/>
    <col min="9989" max="9989" width="3.5703125" style="354" customWidth="1"/>
    <col min="9990" max="10240" width="9.140625" style="354"/>
    <col min="10241" max="10241" width="7.140625" style="354" bestFit="1" customWidth="1"/>
    <col min="10242" max="10242" width="14.85546875" style="354" customWidth="1"/>
    <col min="10243" max="10243" width="16.140625" style="354" customWidth="1"/>
    <col min="10244" max="10244" width="0" style="354" hidden="1" customWidth="1"/>
    <col min="10245" max="10245" width="3.5703125" style="354" customWidth="1"/>
    <col min="10246" max="10496" width="9.140625" style="354"/>
    <col min="10497" max="10497" width="7.140625" style="354" bestFit="1" customWidth="1"/>
    <col min="10498" max="10498" width="14.85546875" style="354" customWidth="1"/>
    <col min="10499" max="10499" width="16.140625" style="354" customWidth="1"/>
    <col min="10500" max="10500" width="0" style="354" hidden="1" customWidth="1"/>
    <col min="10501" max="10501" width="3.5703125" style="354" customWidth="1"/>
    <col min="10502" max="10752" width="9.140625" style="354"/>
    <col min="10753" max="10753" width="7.140625" style="354" bestFit="1" customWidth="1"/>
    <col min="10754" max="10754" width="14.85546875" style="354" customWidth="1"/>
    <col min="10755" max="10755" width="16.140625" style="354" customWidth="1"/>
    <col min="10756" max="10756" width="0" style="354" hidden="1" customWidth="1"/>
    <col min="10757" max="10757" width="3.5703125" style="354" customWidth="1"/>
    <col min="10758" max="11008" width="9.140625" style="354"/>
    <col min="11009" max="11009" width="7.140625" style="354" bestFit="1" customWidth="1"/>
    <col min="11010" max="11010" width="14.85546875" style="354" customWidth="1"/>
    <col min="11011" max="11011" width="16.140625" style="354" customWidth="1"/>
    <col min="11012" max="11012" width="0" style="354" hidden="1" customWidth="1"/>
    <col min="11013" max="11013" width="3.5703125" style="354" customWidth="1"/>
    <col min="11014" max="11264" width="9.140625" style="354"/>
    <col min="11265" max="11265" width="7.140625" style="354" bestFit="1" customWidth="1"/>
    <col min="11266" max="11266" width="14.85546875" style="354" customWidth="1"/>
    <col min="11267" max="11267" width="16.140625" style="354" customWidth="1"/>
    <col min="11268" max="11268" width="0" style="354" hidden="1" customWidth="1"/>
    <col min="11269" max="11269" width="3.5703125" style="354" customWidth="1"/>
    <col min="11270" max="11520" width="9.140625" style="354"/>
    <col min="11521" max="11521" width="7.140625" style="354" bestFit="1" customWidth="1"/>
    <col min="11522" max="11522" width="14.85546875" style="354" customWidth="1"/>
    <col min="11523" max="11523" width="16.140625" style="354" customWidth="1"/>
    <col min="11524" max="11524" width="0" style="354" hidden="1" customWidth="1"/>
    <col min="11525" max="11525" width="3.5703125" style="354" customWidth="1"/>
    <col min="11526" max="11776" width="9.140625" style="354"/>
    <col min="11777" max="11777" width="7.140625" style="354" bestFit="1" customWidth="1"/>
    <col min="11778" max="11778" width="14.85546875" style="354" customWidth="1"/>
    <col min="11779" max="11779" width="16.140625" style="354" customWidth="1"/>
    <col min="11780" max="11780" width="0" style="354" hidden="1" customWidth="1"/>
    <col min="11781" max="11781" width="3.5703125" style="354" customWidth="1"/>
    <col min="11782" max="12032" width="9.140625" style="354"/>
    <col min="12033" max="12033" width="7.140625" style="354" bestFit="1" customWidth="1"/>
    <col min="12034" max="12034" width="14.85546875" style="354" customWidth="1"/>
    <col min="12035" max="12035" width="16.140625" style="354" customWidth="1"/>
    <col min="12036" max="12036" width="0" style="354" hidden="1" customWidth="1"/>
    <col min="12037" max="12037" width="3.5703125" style="354" customWidth="1"/>
    <col min="12038" max="12288" width="9.140625" style="354"/>
    <col min="12289" max="12289" width="7.140625" style="354" bestFit="1" customWidth="1"/>
    <col min="12290" max="12290" width="14.85546875" style="354" customWidth="1"/>
    <col min="12291" max="12291" width="16.140625" style="354" customWidth="1"/>
    <col min="12292" max="12292" width="0" style="354" hidden="1" customWidth="1"/>
    <col min="12293" max="12293" width="3.5703125" style="354" customWidth="1"/>
    <col min="12294" max="12544" width="9.140625" style="354"/>
    <col min="12545" max="12545" width="7.140625" style="354" bestFit="1" customWidth="1"/>
    <col min="12546" max="12546" width="14.85546875" style="354" customWidth="1"/>
    <col min="12547" max="12547" width="16.140625" style="354" customWidth="1"/>
    <col min="12548" max="12548" width="0" style="354" hidden="1" customWidth="1"/>
    <col min="12549" max="12549" width="3.5703125" style="354" customWidth="1"/>
    <col min="12550" max="12800" width="9.140625" style="354"/>
    <col min="12801" max="12801" width="7.140625" style="354" bestFit="1" customWidth="1"/>
    <col min="12802" max="12802" width="14.85546875" style="354" customWidth="1"/>
    <col min="12803" max="12803" width="16.140625" style="354" customWidth="1"/>
    <col min="12804" max="12804" width="0" style="354" hidden="1" customWidth="1"/>
    <col min="12805" max="12805" width="3.5703125" style="354" customWidth="1"/>
    <col min="12806" max="13056" width="9.140625" style="354"/>
    <col min="13057" max="13057" width="7.140625" style="354" bestFit="1" customWidth="1"/>
    <col min="13058" max="13058" width="14.85546875" style="354" customWidth="1"/>
    <col min="13059" max="13059" width="16.140625" style="354" customWidth="1"/>
    <col min="13060" max="13060" width="0" style="354" hidden="1" customWidth="1"/>
    <col min="13061" max="13061" width="3.5703125" style="354" customWidth="1"/>
    <col min="13062" max="13312" width="9.140625" style="354"/>
    <col min="13313" max="13313" width="7.140625" style="354" bestFit="1" customWidth="1"/>
    <col min="13314" max="13314" width="14.85546875" style="354" customWidth="1"/>
    <col min="13315" max="13315" width="16.140625" style="354" customWidth="1"/>
    <col min="13316" max="13316" width="0" style="354" hidden="1" customWidth="1"/>
    <col min="13317" max="13317" width="3.5703125" style="354" customWidth="1"/>
    <col min="13318" max="13568" width="9.140625" style="354"/>
    <col min="13569" max="13569" width="7.140625" style="354" bestFit="1" customWidth="1"/>
    <col min="13570" max="13570" width="14.85546875" style="354" customWidth="1"/>
    <col min="13571" max="13571" width="16.140625" style="354" customWidth="1"/>
    <col min="13572" max="13572" width="0" style="354" hidden="1" customWidth="1"/>
    <col min="13573" max="13573" width="3.5703125" style="354" customWidth="1"/>
    <col min="13574" max="13824" width="9.140625" style="354"/>
    <col min="13825" max="13825" width="7.140625" style="354" bestFit="1" customWidth="1"/>
    <col min="13826" max="13826" width="14.85546875" style="354" customWidth="1"/>
    <col min="13827" max="13827" width="16.140625" style="354" customWidth="1"/>
    <col min="13828" max="13828" width="0" style="354" hidden="1" customWidth="1"/>
    <col min="13829" max="13829" width="3.5703125" style="354" customWidth="1"/>
    <col min="13830" max="14080" width="9.140625" style="354"/>
    <col min="14081" max="14081" width="7.140625" style="354" bestFit="1" customWidth="1"/>
    <col min="14082" max="14082" width="14.85546875" style="354" customWidth="1"/>
    <col min="14083" max="14083" width="16.140625" style="354" customWidth="1"/>
    <col min="14084" max="14084" width="0" style="354" hidden="1" customWidth="1"/>
    <col min="14085" max="14085" width="3.5703125" style="354" customWidth="1"/>
    <col min="14086" max="14336" width="9.140625" style="354"/>
    <col min="14337" max="14337" width="7.140625" style="354" bestFit="1" customWidth="1"/>
    <col min="14338" max="14338" width="14.85546875" style="354" customWidth="1"/>
    <col min="14339" max="14339" width="16.140625" style="354" customWidth="1"/>
    <col min="14340" max="14340" width="0" style="354" hidden="1" customWidth="1"/>
    <col min="14341" max="14341" width="3.5703125" style="354" customWidth="1"/>
    <col min="14342" max="14592" width="9.140625" style="354"/>
    <col min="14593" max="14593" width="7.140625" style="354" bestFit="1" customWidth="1"/>
    <col min="14594" max="14594" width="14.85546875" style="354" customWidth="1"/>
    <col min="14595" max="14595" width="16.140625" style="354" customWidth="1"/>
    <col min="14596" max="14596" width="0" style="354" hidden="1" customWidth="1"/>
    <col min="14597" max="14597" width="3.5703125" style="354" customWidth="1"/>
    <col min="14598" max="14848" width="9.140625" style="354"/>
    <col min="14849" max="14849" width="7.140625" style="354" bestFit="1" customWidth="1"/>
    <col min="14850" max="14850" width="14.85546875" style="354" customWidth="1"/>
    <col min="14851" max="14851" width="16.140625" style="354" customWidth="1"/>
    <col min="14852" max="14852" width="0" style="354" hidden="1" customWidth="1"/>
    <col min="14853" max="14853" width="3.5703125" style="354" customWidth="1"/>
    <col min="14854" max="15104" width="9.140625" style="354"/>
    <col min="15105" max="15105" width="7.140625" style="354" bestFit="1" customWidth="1"/>
    <col min="15106" max="15106" width="14.85546875" style="354" customWidth="1"/>
    <col min="15107" max="15107" width="16.140625" style="354" customWidth="1"/>
    <col min="15108" max="15108" width="0" style="354" hidden="1" customWidth="1"/>
    <col min="15109" max="15109" width="3.5703125" style="354" customWidth="1"/>
    <col min="15110" max="15360" width="9.140625" style="354"/>
    <col min="15361" max="15361" width="7.140625" style="354" bestFit="1" customWidth="1"/>
    <col min="15362" max="15362" width="14.85546875" style="354" customWidth="1"/>
    <col min="15363" max="15363" width="16.140625" style="354" customWidth="1"/>
    <col min="15364" max="15364" width="0" style="354" hidden="1" customWidth="1"/>
    <col min="15365" max="15365" width="3.5703125" style="354" customWidth="1"/>
    <col min="15366" max="15616" width="9.140625" style="354"/>
    <col min="15617" max="15617" width="7.140625" style="354" bestFit="1" customWidth="1"/>
    <col min="15618" max="15618" width="14.85546875" style="354" customWidth="1"/>
    <col min="15619" max="15619" width="16.140625" style="354" customWidth="1"/>
    <col min="15620" max="15620" width="0" style="354" hidden="1" customWidth="1"/>
    <col min="15621" max="15621" width="3.5703125" style="354" customWidth="1"/>
    <col min="15622" max="15872" width="9.140625" style="354"/>
    <col min="15873" max="15873" width="7.140625" style="354" bestFit="1" customWidth="1"/>
    <col min="15874" max="15874" width="14.85546875" style="354" customWidth="1"/>
    <col min="15875" max="15875" width="16.140625" style="354" customWidth="1"/>
    <col min="15876" max="15876" width="0" style="354" hidden="1" customWidth="1"/>
    <col min="15877" max="15877" width="3.5703125" style="354" customWidth="1"/>
    <col min="15878" max="16128" width="9.140625" style="354"/>
    <col min="16129" max="16129" width="7.140625" style="354" bestFit="1" customWidth="1"/>
    <col min="16130" max="16130" width="14.85546875" style="354" customWidth="1"/>
    <col min="16131" max="16131" width="16.140625" style="354" customWidth="1"/>
    <col min="16132" max="16132" width="0" style="354" hidden="1" customWidth="1"/>
    <col min="16133" max="16133" width="3.5703125" style="354" customWidth="1"/>
    <col min="16134" max="16384" width="9.140625" style="354"/>
  </cols>
  <sheetData>
    <row r="1" spans="1:5" ht="5.0999999999999996" customHeight="1">
      <c r="A1" s="353"/>
      <c r="B1" s="353"/>
      <c r="C1" s="353"/>
      <c r="D1" s="353"/>
      <c r="E1" s="353"/>
    </row>
    <row r="2" spans="1:5">
      <c r="A2" s="367" t="s">
        <v>114</v>
      </c>
      <c r="B2" s="368"/>
      <c r="C2" s="368"/>
      <c r="D2" s="353"/>
      <c r="E2" s="353"/>
    </row>
    <row r="3" spans="1:5">
      <c r="A3" s="353"/>
      <c r="B3" s="353"/>
      <c r="C3" s="353"/>
      <c r="D3" s="353"/>
      <c r="E3" s="353"/>
    </row>
    <row r="4" spans="1:5" ht="18" customHeight="1">
      <c r="A4" s="369" t="s">
        <v>115</v>
      </c>
      <c r="B4" s="368"/>
      <c r="C4" s="368"/>
      <c r="D4" s="353"/>
      <c r="E4" s="353"/>
    </row>
    <row r="5" spans="1:5" ht="10.35" customHeight="1">
      <c r="A5" s="353"/>
      <c r="B5" s="353"/>
      <c r="C5" s="353"/>
      <c r="D5" s="353"/>
      <c r="E5" s="353"/>
    </row>
    <row r="6" spans="1:5" ht="21">
      <c r="A6" s="355" t="s">
        <v>116</v>
      </c>
      <c r="B6" s="355" t="s">
        <v>117</v>
      </c>
      <c r="C6" s="355" t="s">
        <v>118</v>
      </c>
      <c r="D6" s="353"/>
      <c r="E6" s="353"/>
    </row>
    <row r="7" spans="1:5">
      <c r="A7" s="356" t="s">
        <v>119</v>
      </c>
      <c r="B7" s="357">
        <v>43473</v>
      </c>
      <c r="C7" s="358">
        <v>15001.78</v>
      </c>
      <c r="D7" s="353"/>
      <c r="E7" s="353"/>
    </row>
    <row r="8" spans="1:5">
      <c r="A8" s="356" t="s">
        <v>119</v>
      </c>
      <c r="B8" s="357">
        <v>43480</v>
      </c>
      <c r="C8" s="358">
        <v>13811.1</v>
      </c>
      <c r="D8" s="353"/>
      <c r="E8" s="353"/>
    </row>
    <row r="9" spans="1:5">
      <c r="A9" s="356" t="s">
        <v>119</v>
      </c>
      <c r="B9" s="357">
        <v>43487</v>
      </c>
      <c r="C9" s="358">
        <v>12046.16</v>
      </c>
      <c r="D9" s="353"/>
      <c r="E9" s="353"/>
    </row>
    <row r="10" spans="1:5">
      <c r="A10" s="356" t="s">
        <v>119</v>
      </c>
      <c r="B10" s="357">
        <v>43494</v>
      </c>
      <c r="C10" s="358">
        <v>12909.83</v>
      </c>
      <c r="D10" s="353"/>
      <c r="E10" s="353"/>
    </row>
    <row r="11" spans="1:5">
      <c r="A11" s="359" t="s">
        <v>119</v>
      </c>
      <c r="B11" s="360">
        <v>43501</v>
      </c>
      <c r="C11" s="361">
        <v>13503.05</v>
      </c>
      <c r="D11" s="353"/>
      <c r="E11" s="353"/>
    </row>
    <row r="12" spans="1:5">
      <c r="A12" s="359" t="s">
        <v>119</v>
      </c>
      <c r="B12" s="360">
        <v>43508</v>
      </c>
      <c r="C12" s="361">
        <v>14682.05</v>
      </c>
      <c r="D12" s="353"/>
      <c r="E12" s="353"/>
    </row>
    <row r="13" spans="1:5">
      <c r="A13" s="359" t="s">
        <v>119</v>
      </c>
      <c r="B13" s="360">
        <v>43515</v>
      </c>
      <c r="C13" s="361">
        <v>13381.17</v>
      </c>
      <c r="D13" s="353"/>
      <c r="E13" s="353"/>
    </row>
    <row r="14" spans="1:5">
      <c r="A14" s="359" t="s">
        <v>119</v>
      </c>
      <c r="B14" s="360">
        <v>43522</v>
      </c>
      <c r="C14" s="361">
        <v>14503.26</v>
      </c>
      <c r="D14" s="353"/>
      <c r="E14" s="353"/>
    </row>
    <row r="15" spans="1:5">
      <c r="A15" s="362" t="s">
        <v>119</v>
      </c>
      <c r="B15" s="363">
        <v>43529</v>
      </c>
      <c r="C15" s="364">
        <v>14680.52</v>
      </c>
      <c r="D15" s="353"/>
      <c r="E15" s="353"/>
    </row>
    <row r="16" spans="1:5">
      <c r="A16" s="356" t="s">
        <v>119</v>
      </c>
      <c r="B16" s="357">
        <v>43536</v>
      </c>
      <c r="C16" s="358">
        <v>13975.11</v>
      </c>
      <c r="D16" s="353"/>
      <c r="E16" s="353"/>
    </row>
    <row r="17" spans="1:5">
      <c r="A17" s="356" t="s">
        <v>119</v>
      </c>
      <c r="B17" s="357">
        <v>43543</v>
      </c>
      <c r="C17" s="358">
        <v>14187.51</v>
      </c>
      <c r="D17" s="353"/>
      <c r="E17" s="353"/>
    </row>
    <row r="18" spans="1:5">
      <c r="A18" s="356" t="s">
        <v>119</v>
      </c>
      <c r="B18" s="357">
        <v>43550</v>
      </c>
      <c r="C18" s="358">
        <v>13863.35</v>
      </c>
      <c r="D18" s="353"/>
      <c r="E18" s="353"/>
    </row>
    <row r="19" spans="1:5">
      <c r="A19" s="356" t="s">
        <v>119</v>
      </c>
      <c r="B19" s="357">
        <v>43557</v>
      </c>
      <c r="C19" s="358">
        <v>15033.02</v>
      </c>
      <c r="D19" s="353"/>
      <c r="E19" s="353"/>
    </row>
    <row r="20" spans="1:5">
      <c r="A20" s="359" t="s">
        <v>119</v>
      </c>
      <c r="B20" s="360">
        <v>43564</v>
      </c>
      <c r="C20" s="361">
        <v>16078.67</v>
      </c>
      <c r="D20" s="353"/>
      <c r="E20" s="353"/>
    </row>
    <row r="21" spans="1:5">
      <c r="A21" s="359" t="s">
        <v>119</v>
      </c>
      <c r="B21" s="360">
        <v>43571</v>
      </c>
      <c r="C21" s="361">
        <v>15868.4</v>
      </c>
      <c r="D21" s="353"/>
      <c r="E21" s="353"/>
    </row>
    <row r="22" spans="1:5">
      <c r="A22" s="359" t="s">
        <v>119</v>
      </c>
      <c r="B22" s="360">
        <v>43578</v>
      </c>
      <c r="C22" s="361">
        <v>12969.55</v>
      </c>
      <c r="D22" s="353"/>
      <c r="E22" s="353"/>
    </row>
    <row r="23" spans="1:5">
      <c r="A23" s="359" t="s">
        <v>119</v>
      </c>
      <c r="B23" s="360">
        <v>43585</v>
      </c>
      <c r="C23" s="361">
        <v>14459.42</v>
      </c>
      <c r="D23" s="353"/>
      <c r="E23" s="353"/>
    </row>
    <row r="24" spans="1:5">
      <c r="A24" s="356" t="s">
        <v>119</v>
      </c>
      <c r="B24" s="357">
        <v>43592</v>
      </c>
      <c r="C24" s="358">
        <v>15945.65</v>
      </c>
      <c r="D24" s="353"/>
      <c r="E24" s="353"/>
    </row>
    <row r="25" spans="1:5">
      <c r="A25" s="356" t="s">
        <v>119</v>
      </c>
      <c r="B25" s="357">
        <v>43599</v>
      </c>
      <c r="C25" s="358">
        <v>14444.9</v>
      </c>
      <c r="D25" s="353"/>
      <c r="E25" s="353"/>
    </row>
    <row r="26" spans="1:5">
      <c r="A26" s="356" t="s">
        <v>119</v>
      </c>
      <c r="B26" s="357">
        <v>43606</v>
      </c>
      <c r="C26" s="358">
        <v>16030.38</v>
      </c>
      <c r="D26" s="353"/>
      <c r="E26" s="353"/>
    </row>
    <row r="27" spans="1:5">
      <c r="A27" s="356" t="s">
        <v>119</v>
      </c>
      <c r="B27" s="357">
        <v>43613</v>
      </c>
      <c r="C27" s="358">
        <v>13999.51</v>
      </c>
      <c r="D27" s="353"/>
      <c r="E27" s="353"/>
    </row>
    <row r="28" spans="1:5">
      <c r="A28" s="359" t="s">
        <v>119</v>
      </c>
      <c r="B28" s="360">
        <v>43620</v>
      </c>
      <c r="C28" s="361">
        <v>14532.48</v>
      </c>
      <c r="D28" s="353"/>
      <c r="E28" s="353"/>
    </row>
    <row r="29" spans="1:5">
      <c r="A29" s="359" t="s">
        <v>119</v>
      </c>
      <c r="B29" s="360">
        <v>43627</v>
      </c>
      <c r="C29" s="361">
        <v>13546.76</v>
      </c>
      <c r="D29" s="353"/>
      <c r="E29" s="353"/>
    </row>
    <row r="30" spans="1:5">
      <c r="A30" s="359" t="s">
        <v>119</v>
      </c>
      <c r="B30" s="360">
        <v>43634</v>
      </c>
      <c r="C30" s="361">
        <v>13349.59</v>
      </c>
      <c r="D30" s="353"/>
      <c r="E30" s="353"/>
    </row>
    <row r="31" spans="1:5">
      <c r="A31" s="359" t="s">
        <v>119</v>
      </c>
      <c r="B31" s="360">
        <v>43641</v>
      </c>
      <c r="C31" s="361">
        <v>13223.42</v>
      </c>
      <c r="D31" s="353"/>
      <c r="E31" s="353"/>
    </row>
    <row r="32" spans="1:5">
      <c r="A32" s="359" t="s">
        <v>119</v>
      </c>
      <c r="B32" s="360">
        <v>43648</v>
      </c>
      <c r="C32" s="361">
        <v>14895.33</v>
      </c>
      <c r="D32" s="353"/>
      <c r="E32" s="353"/>
    </row>
    <row r="33" spans="1:5">
      <c r="A33" s="356" t="s">
        <v>119</v>
      </c>
      <c r="B33" s="357">
        <v>43655</v>
      </c>
      <c r="C33" s="358">
        <v>11998.51</v>
      </c>
      <c r="D33" s="353"/>
      <c r="E33" s="353"/>
    </row>
    <row r="34" spans="1:5">
      <c r="A34" s="356" t="s">
        <v>119</v>
      </c>
      <c r="B34" s="357">
        <v>43662</v>
      </c>
      <c r="C34" s="358">
        <v>14179.63</v>
      </c>
      <c r="D34" s="353"/>
      <c r="E34" s="353"/>
    </row>
    <row r="35" spans="1:5">
      <c r="A35" s="356" t="s">
        <v>119</v>
      </c>
      <c r="B35" s="357">
        <v>43669</v>
      </c>
      <c r="C35" s="358">
        <v>15428.44</v>
      </c>
      <c r="D35" s="353"/>
      <c r="E35" s="353"/>
    </row>
    <row r="36" spans="1:5">
      <c r="A36" s="356" t="s">
        <v>119</v>
      </c>
      <c r="B36" s="357">
        <v>43676</v>
      </c>
      <c r="C36" s="358">
        <v>13358.37</v>
      </c>
      <c r="D36" s="353"/>
      <c r="E36" s="353"/>
    </row>
    <row r="37" spans="1:5">
      <c r="A37" s="359" t="s">
        <v>119</v>
      </c>
      <c r="B37" s="360">
        <v>43683</v>
      </c>
      <c r="C37" s="361">
        <v>14294.41</v>
      </c>
      <c r="D37" s="353"/>
      <c r="E37" s="353"/>
    </row>
    <row r="38" spans="1:5">
      <c r="A38" s="359" t="s">
        <v>119</v>
      </c>
      <c r="B38" s="360">
        <v>43690</v>
      </c>
      <c r="C38" s="361">
        <v>12058.4</v>
      </c>
      <c r="D38" s="353"/>
      <c r="E38" s="353"/>
    </row>
    <row r="39" spans="1:5">
      <c r="A39" s="359" t="s">
        <v>119</v>
      </c>
      <c r="B39" s="360">
        <v>43697</v>
      </c>
      <c r="C39" s="361">
        <v>13513.26</v>
      </c>
      <c r="D39" s="353"/>
      <c r="E39" s="353"/>
    </row>
    <row r="40" spans="1:5">
      <c r="A40" s="359" t="s">
        <v>119</v>
      </c>
      <c r="B40" s="360">
        <v>43704</v>
      </c>
      <c r="C40" s="361">
        <v>13784.16</v>
      </c>
      <c r="D40" s="353"/>
      <c r="E40" s="353"/>
    </row>
    <row r="41" spans="1:5">
      <c r="A41" s="359" t="s">
        <v>119</v>
      </c>
      <c r="B41" s="360">
        <v>43711</v>
      </c>
      <c r="C41" s="361">
        <v>13615.31</v>
      </c>
      <c r="D41" s="353"/>
      <c r="E41" s="353"/>
    </row>
    <row r="42" spans="1:5">
      <c r="A42" s="356" t="s">
        <v>119</v>
      </c>
      <c r="B42" s="357">
        <v>43718</v>
      </c>
      <c r="C42" s="358">
        <v>15297.65</v>
      </c>
      <c r="D42" s="353"/>
      <c r="E42" s="353"/>
    </row>
    <row r="43" spans="1:5">
      <c r="A43" s="356" t="s">
        <v>119</v>
      </c>
      <c r="B43" s="357">
        <v>43725</v>
      </c>
      <c r="C43" s="358">
        <v>15101.96</v>
      </c>
      <c r="D43" s="353"/>
      <c r="E43" s="353"/>
    </row>
    <row r="44" spans="1:5">
      <c r="A44" s="356" t="s">
        <v>119</v>
      </c>
      <c r="B44" s="357">
        <v>43732</v>
      </c>
      <c r="C44" s="358">
        <v>15382.71</v>
      </c>
      <c r="D44" s="353"/>
      <c r="E44" s="353"/>
    </row>
    <row r="45" spans="1:5">
      <c r="A45" s="356" t="s">
        <v>119</v>
      </c>
      <c r="B45" s="357">
        <v>43739</v>
      </c>
      <c r="C45" s="358">
        <v>14407.81</v>
      </c>
      <c r="D45" s="353"/>
      <c r="E45" s="353"/>
    </row>
    <row r="46" spans="1:5">
      <c r="A46" s="359" t="s">
        <v>119</v>
      </c>
      <c r="B46" s="360">
        <v>43746</v>
      </c>
      <c r="C46" s="361">
        <v>12928.47</v>
      </c>
      <c r="D46" s="353"/>
      <c r="E46" s="353"/>
    </row>
    <row r="47" spans="1:5">
      <c r="A47" s="359" t="s">
        <v>119</v>
      </c>
      <c r="B47" s="360">
        <v>43753</v>
      </c>
      <c r="C47" s="361">
        <v>9582.77</v>
      </c>
      <c r="D47" s="353"/>
      <c r="E47" s="353"/>
    </row>
    <row r="48" spans="1:5">
      <c r="A48" s="359" t="s">
        <v>119</v>
      </c>
      <c r="B48" s="360">
        <v>43760</v>
      </c>
      <c r="C48" s="361">
        <v>9670.19</v>
      </c>
      <c r="D48" s="353"/>
      <c r="E48" s="353"/>
    </row>
    <row r="49" spans="1:5">
      <c r="A49" s="359" t="s">
        <v>119</v>
      </c>
      <c r="B49" s="360">
        <v>43767</v>
      </c>
      <c r="C49" s="361">
        <v>9295.91</v>
      </c>
      <c r="D49" s="353"/>
      <c r="E49" s="353"/>
    </row>
    <row r="50" spans="1:5">
      <c r="A50" s="356" t="s">
        <v>119</v>
      </c>
      <c r="B50" s="357">
        <v>43774</v>
      </c>
      <c r="C50" s="358">
        <v>11739.68</v>
      </c>
      <c r="D50" s="353"/>
      <c r="E50" s="353"/>
    </row>
    <row r="51" spans="1:5">
      <c r="A51" s="356" t="s">
        <v>119</v>
      </c>
      <c r="B51" s="357">
        <v>43781</v>
      </c>
      <c r="C51" s="358">
        <v>11634.859</v>
      </c>
      <c r="D51" s="353"/>
      <c r="E51" s="353"/>
    </row>
    <row r="52" spans="1:5">
      <c r="A52" s="356" t="s">
        <v>119</v>
      </c>
      <c r="B52" s="357">
        <v>43788</v>
      </c>
      <c r="C52" s="358">
        <v>12739.99</v>
      </c>
      <c r="D52" s="353"/>
      <c r="E52" s="353"/>
    </row>
    <row r="53" spans="1:5">
      <c r="A53" s="356" t="s">
        <v>119</v>
      </c>
      <c r="B53" s="357">
        <v>43795</v>
      </c>
      <c r="C53" s="358">
        <v>12965.27</v>
      </c>
      <c r="D53" s="353"/>
      <c r="E53" s="353"/>
    </row>
    <row r="54" spans="1:5">
      <c r="A54" s="356" t="s">
        <v>119</v>
      </c>
      <c r="B54" s="357">
        <v>43802</v>
      </c>
      <c r="C54" s="358">
        <v>10291.51</v>
      </c>
      <c r="D54" s="353"/>
      <c r="E54" s="353"/>
    </row>
    <row r="55" spans="1:5">
      <c r="A55" s="359" t="s">
        <v>119</v>
      </c>
      <c r="B55" s="360">
        <v>43809</v>
      </c>
      <c r="C55" s="361">
        <v>14909.64</v>
      </c>
      <c r="D55" s="353"/>
      <c r="E55" s="353"/>
    </row>
    <row r="56" spans="1:5">
      <c r="A56" s="359" t="s">
        <v>119</v>
      </c>
      <c r="B56" s="360">
        <v>43816</v>
      </c>
      <c r="C56" s="361">
        <v>13440.37</v>
      </c>
      <c r="D56" s="353"/>
      <c r="E56" s="353"/>
    </row>
    <row r="57" spans="1:5">
      <c r="A57" s="359" t="s">
        <v>119</v>
      </c>
      <c r="B57" s="360">
        <v>43823</v>
      </c>
      <c r="C57" s="361">
        <v>13244.72</v>
      </c>
      <c r="D57" s="353"/>
      <c r="E57" s="353"/>
    </row>
    <row r="58" spans="1:5">
      <c r="A58" s="359" t="s">
        <v>119</v>
      </c>
      <c r="B58" s="360">
        <v>43830</v>
      </c>
      <c r="C58" s="361">
        <v>10032.999</v>
      </c>
      <c r="D58" s="353"/>
      <c r="E58" s="353"/>
    </row>
    <row r="59" spans="1:5" ht="20.25" customHeight="1">
      <c r="A59" s="353"/>
      <c r="B59" s="353"/>
      <c r="C59" s="353"/>
      <c r="D59" s="353"/>
      <c r="E59" s="353"/>
    </row>
  </sheetData>
  <mergeCells count="2">
    <mergeCell ref="A2:C2"/>
    <mergeCell ref="A4:C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6" zoomScale="96" zoomScaleNormal="96" workbookViewId="0">
      <selection activeCell="E26" sqref="E26"/>
    </sheetView>
  </sheetViews>
  <sheetFormatPr defaultRowHeight="15"/>
  <cols>
    <col min="1" max="1" width="32.85546875" style="170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94" bestFit="1" customWidth="1"/>
    <col min="9" max="9" width="7.140625" style="194" bestFit="1" customWidth="1"/>
    <col min="10" max="10" width="14.7109375" style="194" bestFit="1" customWidth="1"/>
    <col min="11" max="11" width="13.5703125" style="194" bestFit="1" customWidth="1"/>
    <col min="12" max="12" width="13.85546875" style="195" bestFit="1" customWidth="1"/>
    <col min="13" max="13" width="9.140625" style="195"/>
  </cols>
  <sheetData>
    <row r="1" spans="1:13" ht="29.25" thickBot="1">
      <c r="A1" s="87" t="s">
        <v>67</v>
      </c>
      <c r="B1" s="351">
        <v>870</v>
      </c>
      <c r="C1" s="9"/>
      <c r="D1" s="253">
        <v>2020</v>
      </c>
      <c r="E1" s="30"/>
      <c r="F1" s="30" t="s">
        <v>40</v>
      </c>
      <c r="G1" s="113" t="s">
        <v>83</v>
      </c>
    </row>
    <row r="2" spans="1:13" ht="27" thickBot="1">
      <c r="A2" s="87"/>
      <c r="B2" s="32"/>
      <c r="C2" s="9"/>
      <c r="D2" s="9"/>
      <c r="E2" s="30"/>
      <c r="F2" s="105"/>
      <c r="G2" s="107"/>
      <c r="J2" s="199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94"/>
      <c r="I4" s="194"/>
      <c r="J4" s="194"/>
      <c r="K4" s="194"/>
      <c r="L4" s="204"/>
      <c r="M4" s="204"/>
    </row>
    <row r="5" spans="1:13" s="119" customFormat="1" ht="40.5" customHeight="1" thickBot="1">
      <c r="A5" s="297" t="s">
        <v>10</v>
      </c>
      <c r="B5" s="114">
        <v>15001.78</v>
      </c>
      <c r="C5" s="115">
        <v>13811.1</v>
      </c>
      <c r="D5" s="115">
        <v>12046.16</v>
      </c>
      <c r="E5" s="114">
        <v>12909.83</v>
      </c>
      <c r="F5" s="114"/>
      <c r="G5" s="116">
        <f>SUM(B5:F5)</f>
        <v>53768.87</v>
      </c>
      <c r="H5" s="206"/>
      <c r="I5" s="206"/>
      <c r="J5" s="206"/>
      <c r="K5" s="206"/>
      <c r="L5" s="207"/>
      <c r="M5" s="207"/>
    </row>
    <row r="6" spans="1:13" s="39" customFormat="1" ht="40.5" customHeight="1" thickBot="1">
      <c r="A6" s="298" t="s">
        <v>106</v>
      </c>
      <c r="B6" s="294">
        <v>43837</v>
      </c>
      <c r="C6" s="347">
        <f>B6+7</f>
        <v>43844</v>
      </c>
      <c r="D6" s="347">
        <f>C6+7</f>
        <v>43851</v>
      </c>
      <c r="E6" s="347">
        <f>D6+7</f>
        <v>43858</v>
      </c>
      <c r="F6" s="347">
        <f>E6+7</f>
        <v>43865</v>
      </c>
      <c r="G6" s="250"/>
      <c r="H6" s="194"/>
      <c r="I6" s="194"/>
      <c r="J6" s="194"/>
      <c r="K6" s="194"/>
      <c r="L6" s="195"/>
      <c r="M6" s="195"/>
    </row>
    <row r="7" spans="1:13" s="119" customFormat="1" ht="40.5" customHeight="1" thickBot="1">
      <c r="A7" s="297" t="s">
        <v>107</v>
      </c>
      <c r="B7" s="120">
        <v>12608</v>
      </c>
      <c r="C7" s="115">
        <v>14875</v>
      </c>
      <c r="D7" s="115">
        <v>12101.6</v>
      </c>
      <c r="E7" s="114">
        <v>12497.2</v>
      </c>
      <c r="F7" s="114"/>
      <c r="G7" s="116">
        <f>SUM(B7:F7)</f>
        <v>52081.8</v>
      </c>
      <c r="H7" s="206"/>
      <c r="I7" s="206"/>
      <c r="J7" s="206"/>
      <c r="K7" s="206"/>
      <c r="L7" s="207"/>
      <c r="M7" s="207"/>
    </row>
    <row r="8" spans="1:13" s="119" customFormat="1" ht="40.5" customHeight="1" thickBot="1">
      <c r="A8" s="297" t="s">
        <v>17</v>
      </c>
      <c r="B8" s="120">
        <v>0</v>
      </c>
      <c r="C8" s="121">
        <v>1190</v>
      </c>
      <c r="D8" s="115">
        <v>279.93</v>
      </c>
      <c r="E8" s="115">
        <v>160</v>
      </c>
      <c r="F8" s="120"/>
      <c r="G8" s="116">
        <f>SUM(B8:F8)</f>
        <v>1629.93</v>
      </c>
      <c r="H8" s="210">
        <f>SUM(G8*0.03)</f>
        <v>48.8979</v>
      </c>
      <c r="I8" s="206"/>
      <c r="J8" s="206"/>
      <c r="K8" s="206"/>
      <c r="L8" s="207"/>
      <c r="M8" s="207"/>
    </row>
    <row r="9" spans="1:13" s="127" customFormat="1" ht="40.5" customHeight="1" thickBot="1">
      <c r="A9" s="299" t="s">
        <v>23</v>
      </c>
      <c r="B9" s="296">
        <f>SUM(B7-B8)</f>
        <v>12608</v>
      </c>
      <c r="C9" s="296">
        <f>SUM(C7-C8)</f>
        <v>13685</v>
      </c>
      <c r="D9" s="296">
        <f t="shared" ref="D9:F9" si="0">SUM(D7-D8)</f>
        <v>11821.67</v>
      </c>
      <c r="E9" s="296">
        <f t="shared" si="0"/>
        <v>12337.2</v>
      </c>
      <c r="F9" s="296">
        <f t="shared" si="0"/>
        <v>0</v>
      </c>
      <c r="G9" s="307">
        <f>SUM(G7-G8)</f>
        <v>50451.87</v>
      </c>
      <c r="H9" s="211" t="str">
        <f>IF(G9&gt;=71000,"A",IF(G9&gt;55000,"B",IF(G9&lt;=55000,"C")))</f>
        <v>C</v>
      </c>
      <c r="I9" s="212"/>
      <c r="J9" s="211" t="s">
        <v>2</v>
      </c>
      <c r="K9" s="214">
        <f>GUIDELINES!D38</f>
        <v>50</v>
      </c>
      <c r="L9" s="215"/>
      <c r="M9" s="215"/>
    </row>
    <row r="10" spans="1:13" s="119" customFormat="1" ht="40.5" customHeight="1" thickBot="1">
      <c r="A10" s="299" t="s">
        <v>21</v>
      </c>
      <c r="B10" s="128">
        <f>(B7-B5)/B5</f>
        <v>-0.15956639812075638</v>
      </c>
      <c r="C10" s="128">
        <f t="shared" ref="C10:F10" si="1">(C7-C5)/C5</f>
        <v>7.7032242182012989E-2</v>
      </c>
      <c r="D10" s="128">
        <f t="shared" si="1"/>
        <v>4.6022964994654322E-3</v>
      </c>
      <c r="E10" s="128">
        <f t="shared" si="1"/>
        <v>-3.1962465810936258E-2</v>
      </c>
      <c r="F10" s="128" t="e">
        <f t="shared" si="1"/>
        <v>#DIV/0!</v>
      </c>
      <c r="G10" s="129">
        <f>(G7-G5)/G5</f>
        <v>-3.1376333555084936E-2</v>
      </c>
      <c r="H10" s="212"/>
      <c r="I10" s="212"/>
      <c r="J10" s="211" t="s">
        <v>3</v>
      </c>
      <c r="K10" s="214">
        <f>GUIDELINES!F38</f>
        <v>30</v>
      </c>
      <c r="L10" s="207"/>
      <c r="M10" s="207"/>
    </row>
    <row r="11" spans="1:13" s="119" customFormat="1" ht="40.5" customHeight="1" thickBot="1">
      <c r="A11" s="299" t="s">
        <v>68</v>
      </c>
      <c r="B11" s="308" t="str">
        <f>IF(B10&gt;=10%,"A",IF(B10&gt;=7%,"B",IF(B10&gt;2%,"C",IF(B10&lt;2%,"F",))))</f>
        <v>F</v>
      </c>
      <c r="C11" s="308" t="str">
        <f t="shared" ref="C11:F11" si="2">IF(C10&gt;=10%,"A",IF(C10&gt;=7%,"B",IF(C10&gt;2%,"C",IF(C10&lt;2%,"F",))))</f>
        <v>B</v>
      </c>
      <c r="D11" s="308" t="str">
        <f t="shared" si="2"/>
        <v>F</v>
      </c>
      <c r="E11" s="308" t="str">
        <f t="shared" si="2"/>
        <v>F</v>
      </c>
      <c r="F11" s="308" t="e">
        <f t="shared" si="2"/>
        <v>#DIV/0!</v>
      </c>
      <c r="G11" s="130" t="str">
        <f>IF(G10&gt;=10%,"A",IF(G10&gt;=7%,"B",IF(G10&gt;2%,"C",IF(G10&lt;2%,"F",))))</f>
        <v>F</v>
      </c>
      <c r="H11" s="212"/>
      <c r="I11" s="212"/>
      <c r="J11" s="211" t="s">
        <v>4</v>
      </c>
      <c r="K11" s="214">
        <f>GUIDELINES!H38</f>
        <v>20</v>
      </c>
      <c r="L11" s="207"/>
      <c r="M11" s="207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>
        <f>LOOKUP(G11,J9:K12)</f>
        <v>0</v>
      </c>
      <c r="H12" s="212"/>
      <c r="I12" s="218"/>
      <c r="J12" s="213" t="s">
        <v>5</v>
      </c>
      <c r="K12" s="219">
        <v>0</v>
      </c>
      <c r="L12" s="220"/>
      <c r="M12" s="207"/>
    </row>
    <row r="13" spans="1:13" s="119" customFormat="1" ht="40.5" customHeight="1" thickBot="1">
      <c r="A13" s="299" t="s">
        <v>7</v>
      </c>
      <c r="B13" s="115">
        <v>3532.84</v>
      </c>
      <c r="C13" s="115">
        <v>3840.5</v>
      </c>
      <c r="D13" s="115">
        <v>4010.07</v>
      </c>
      <c r="E13" s="115">
        <v>3775.42</v>
      </c>
      <c r="F13" s="120"/>
      <c r="G13" s="116">
        <f>SUM(B13:F13)+G14</f>
        <v>15158.83</v>
      </c>
      <c r="H13" s="288"/>
      <c r="I13" s="222"/>
      <c r="J13" s="223"/>
      <c r="K13" s="222"/>
      <c r="L13" s="224"/>
      <c r="M13" s="207"/>
    </row>
    <row r="14" spans="1:13" s="119" customFormat="1" ht="40.5" customHeight="1" thickBot="1">
      <c r="A14" s="297" t="s">
        <v>105</v>
      </c>
      <c r="B14" s="115">
        <v>0</v>
      </c>
      <c r="C14" s="115">
        <v>0</v>
      </c>
      <c r="D14" s="115">
        <v>0</v>
      </c>
      <c r="E14" s="115">
        <v>0</v>
      </c>
      <c r="F14" s="120"/>
      <c r="G14" s="116">
        <f>SUM(B14:F14)</f>
        <v>0</v>
      </c>
      <c r="H14" s="288"/>
      <c r="I14" s="222"/>
      <c r="J14" s="223"/>
      <c r="K14" s="222"/>
      <c r="L14" s="224"/>
      <c r="M14" s="207"/>
    </row>
    <row r="15" spans="1:13" s="119" customFormat="1" ht="40.5" customHeight="1" thickBot="1">
      <c r="A15" s="299" t="s">
        <v>20</v>
      </c>
      <c r="B15" s="129">
        <f>SUM(B13/B7)</f>
        <v>0.28020621827411168</v>
      </c>
      <c r="C15" s="129">
        <f t="shared" ref="C15:F15" si="3">SUM(C13/C7)</f>
        <v>0.25818487394957984</v>
      </c>
      <c r="D15" s="129">
        <f t="shared" si="3"/>
        <v>0.33136692668738016</v>
      </c>
      <c r="E15" s="129">
        <f t="shared" si="3"/>
        <v>0.30210127068463333</v>
      </c>
      <c r="F15" s="129" t="e">
        <f t="shared" si="3"/>
        <v>#DIV/0!</v>
      </c>
      <c r="G15" s="129">
        <f>SUM(G13/G7)</f>
        <v>0.29105810475060384</v>
      </c>
      <c r="H15" s="289"/>
      <c r="I15" s="218"/>
      <c r="J15" s="226"/>
      <c r="K15" s="218"/>
      <c r="L15" s="227"/>
      <c r="M15" s="207"/>
    </row>
    <row r="16" spans="1:13" s="119" customFormat="1" ht="40.5" customHeight="1" thickBot="1">
      <c r="A16" s="299" t="s">
        <v>68</v>
      </c>
      <c r="B16" s="308" t="str">
        <f>IF(B15&lt;=27%,"A",IF(B15&lt;=30%,"B",IF(B15&lt;32%,"C",IF(B15&gt;=32%,"F",))))</f>
        <v>B</v>
      </c>
      <c r="C16" s="308" t="str">
        <f t="shared" ref="C16:F16" si="4">IF(C15&lt;=27%,"A",IF(C15&lt;=30%,"B",IF(C15&lt;32%,"C",IF(C15&gt;=32%,"F",))))</f>
        <v>A</v>
      </c>
      <c r="D16" s="308" t="str">
        <f t="shared" si="4"/>
        <v>F</v>
      </c>
      <c r="E16" s="308" t="str">
        <f t="shared" si="4"/>
        <v>C</v>
      </c>
      <c r="F16" s="308" t="e">
        <f t="shared" si="4"/>
        <v>#DIV/0!</v>
      </c>
      <c r="G16" s="130" t="str">
        <f>IF(G15&lt;=27%,"A",IF(G15&lt;=30%,"B",IF(G15&lt;=32%,"C",IF(G15&gt;32%,"F",))))</f>
        <v>B</v>
      </c>
      <c r="H16" s="225"/>
      <c r="I16" s="218"/>
      <c r="J16" s="226"/>
      <c r="K16" s="218"/>
      <c r="L16" s="227"/>
      <c r="M16" s="207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>
        <f>LOOKUP(G16,J9:K12)</f>
        <v>30</v>
      </c>
      <c r="H17" s="212"/>
      <c r="I17" s="228"/>
      <c r="J17" s="212"/>
      <c r="K17" s="229"/>
      <c r="L17" s="207"/>
      <c r="M17" s="207"/>
    </row>
    <row r="18" spans="1:13" s="119" customFormat="1" ht="40.5" customHeight="1" thickBot="1">
      <c r="A18" s="299" t="s">
        <v>19</v>
      </c>
      <c r="B18" s="115">
        <v>3130</v>
      </c>
      <c r="C18" s="115">
        <v>3516.4</v>
      </c>
      <c r="D18" s="115">
        <v>3065.9</v>
      </c>
      <c r="E18" s="115">
        <v>3331.3</v>
      </c>
      <c r="F18" s="115"/>
      <c r="G18" s="116">
        <f>SUM(B18:F18)</f>
        <v>13043.599999999999</v>
      </c>
      <c r="H18" s="222"/>
      <c r="I18" s="230"/>
      <c r="J18" s="206"/>
      <c r="K18" s="231"/>
      <c r="L18" s="207"/>
      <c r="M18" s="207"/>
    </row>
    <row r="19" spans="1:13" s="119" customFormat="1" ht="40.5" customHeight="1" thickBot="1">
      <c r="A19" s="299" t="s">
        <v>16</v>
      </c>
      <c r="B19" s="129">
        <f>SUM(B18/B7)</f>
        <v>0.24825507614213199</v>
      </c>
      <c r="C19" s="129">
        <f t="shared" ref="C19:F19" si="5">SUM(C18/C7)</f>
        <v>0.2363966386554622</v>
      </c>
      <c r="D19" s="129">
        <f t="shared" si="5"/>
        <v>0.25334666490381436</v>
      </c>
      <c r="E19" s="129">
        <f t="shared" si="5"/>
        <v>0.26656371027110071</v>
      </c>
      <c r="F19" s="129" t="e">
        <f t="shared" si="5"/>
        <v>#DIV/0!</v>
      </c>
      <c r="G19" s="129">
        <f>SUM(G18/G7)</f>
        <v>0.25044449308587641</v>
      </c>
      <c r="H19" s="212"/>
      <c r="I19" s="232"/>
      <c r="J19" s="212"/>
      <c r="K19" s="229"/>
      <c r="L19" s="207"/>
      <c r="M19" s="207"/>
    </row>
    <row r="20" spans="1:13" s="119" customFormat="1" ht="40.5" customHeight="1" thickBot="1">
      <c r="A20" s="299" t="s">
        <v>68</v>
      </c>
      <c r="B20" s="308" t="str">
        <f>IF(B19&lt;=20%,"A",IF(B19&lt;=23%,"B",IF(B19&lt;25%,"C",IF(B19&gt;=25%,"F",))))</f>
        <v>C</v>
      </c>
      <c r="C20" s="308" t="str">
        <f>IF(C19&lt;=20%,"A",IF(C19&lt;=23%,"B",IF(C19&lt;25%,"C",IF(C19&gt;=25%,"F",IF))))</f>
        <v>C</v>
      </c>
      <c r="D20" s="308" t="str">
        <f>IF(D19&lt;=20%,"A",IF(D19&lt;=23%,"B",IF(D19&lt;25%,"C",IF(D19&gt;=25%,"F",IF))))</f>
        <v>F</v>
      </c>
      <c r="E20" s="308" t="str">
        <f>IF(E19&lt;=20%,"A",IF(E19&lt;=23%,"B",IF(E19&lt;25%,"C",IF(E19&gt;=25%,"F",IF))))</f>
        <v>F</v>
      </c>
      <c r="F20" s="308" t="e">
        <f>IF(F19&lt;=20%,"A",IF(F19&lt;=23%,"B",IF(F19&lt;25%,"C",IF(F19&gt;=25%,"F",IF))))</f>
        <v>#DIV/0!</v>
      </c>
      <c r="G20" s="130" t="str">
        <f>IF(G19&lt;=20%,"A",IF(G19&lt;=23%,"B",IF(G19&lt;=25%,"C",IF(G19&gt;25%,"F",IF))))</f>
        <v>F</v>
      </c>
      <c r="H20" s="212"/>
      <c r="I20" s="228"/>
      <c r="J20" s="218"/>
      <c r="K20" s="229"/>
      <c r="L20" s="207"/>
      <c r="M20" s="207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>
        <f>LOOKUP(G20,J9:K12)</f>
        <v>0</v>
      </c>
      <c r="H21" s="212"/>
      <c r="I21" s="228"/>
      <c r="J21" s="218"/>
      <c r="K21" s="229"/>
      <c r="L21" s="207"/>
      <c r="M21" s="207"/>
    </row>
    <row r="22" spans="1:13" s="119" customFormat="1" ht="40.5" customHeight="1" thickBot="1">
      <c r="A22" s="301" t="s">
        <v>110</v>
      </c>
      <c r="B22" s="295">
        <v>0.76</v>
      </c>
      <c r="C22" s="295">
        <v>0.76</v>
      </c>
      <c r="D22" s="295">
        <v>0.76</v>
      </c>
      <c r="E22" s="295">
        <v>0.78</v>
      </c>
      <c r="F22" s="327"/>
      <c r="G22" s="312">
        <f>AVERAGE(B22:F22)</f>
        <v>0.76500000000000012</v>
      </c>
      <c r="H22" s="212"/>
      <c r="I22" s="228"/>
      <c r="J22" s="218"/>
      <c r="K22" s="229"/>
      <c r="L22" s="207"/>
      <c r="M22" s="207"/>
    </row>
    <row r="23" spans="1:13" s="119" customFormat="1" ht="40.5" customHeight="1" thickBot="1">
      <c r="A23" s="297" t="s">
        <v>111</v>
      </c>
      <c r="B23" s="295">
        <v>0.8</v>
      </c>
      <c r="C23" s="295">
        <v>0.75</v>
      </c>
      <c r="D23" s="295">
        <v>0.89</v>
      </c>
      <c r="E23" s="295">
        <v>0.88</v>
      </c>
      <c r="F23" s="295"/>
      <c r="G23" s="352">
        <f>AVERAGE(B23:F23)</f>
        <v>0.83</v>
      </c>
      <c r="H23" s="290"/>
      <c r="I23" s="317"/>
      <c r="J23" s="318"/>
      <c r="K23" s="318"/>
      <c r="L23" s="318"/>
      <c r="M23" s="207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$-25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str">
        <f t="shared" si="6"/>
        <v>0</v>
      </c>
      <c r="H24" s="291">
        <f>SUM(+G12+G17+G21)</f>
        <v>30</v>
      </c>
      <c r="I24" s="234" t="s">
        <v>2</v>
      </c>
      <c r="J24" s="328">
        <f>SUM(H26*1.5)</f>
        <v>118.34684999999999</v>
      </c>
      <c r="K24" s="319"/>
      <c r="L24" s="320"/>
      <c r="M24" s="215"/>
    </row>
    <row r="25" spans="1:13" s="119" customFormat="1" ht="40.5" customHeight="1" thickBot="1">
      <c r="A25" s="303" t="s">
        <v>18</v>
      </c>
      <c r="B25" s="114">
        <v>0</v>
      </c>
      <c r="C25" s="115">
        <v>0</v>
      </c>
      <c r="D25" s="115">
        <v>0</v>
      </c>
      <c r="E25" s="115">
        <v>0</v>
      </c>
      <c r="F25" s="115"/>
      <c r="G25" s="307">
        <f>SUM(B25:F25)</f>
        <v>0</v>
      </c>
      <c r="H25" s="291">
        <f>SUM(G24+G26)</f>
        <v>0</v>
      </c>
      <c r="I25" s="236" t="s">
        <v>3</v>
      </c>
      <c r="J25" s="238">
        <f>SUM(H26*1.25)</f>
        <v>98.622374999999991</v>
      </c>
      <c r="K25" s="318"/>
      <c r="L25" s="321"/>
      <c r="M25" s="207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291">
        <f>SUM(+H8+H24+H25)</f>
        <v>78.897899999999993</v>
      </c>
      <c r="I26" s="234" t="s">
        <v>4</v>
      </c>
      <c r="J26" s="329">
        <f>SUM(H26*1)</f>
        <v>78.897899999999993</v>
      </c>
      <c r="K26" s="322"/>
      <c r="L26" s="323"/>
      <c r="M26" s="215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>
        <f>LOOKUP(H9,I24:J26)</f>
        <v>78.897899999999993</v>
      </c>
      <c r="H27" s="212"/>
      <c r="I27" s="324"/>
      <c r="J27" s="325"/>
      <c r="K27" s="325"/>
      <c r="L27" s="326"/>
      <c r="M27" s="207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212"/>
      <c r="I28" s="226"/>
      <c r="J28" s="226"/>
      <c r="K28" s="242"/>
      <c r="L28" s="240"/>
      <c r="M28" s="215"/>
    </row>
    <row r="29" spans="1:13" s="119" customFormat="1" ht="40.5" customHeight="1" thickBot="1">
      <c r="A29" s="167" t="s">
        <v>71</v>
      </c>
      <c r="B29" s="161"/>
      <c r="C29" s="315">
        <f>SUM(G29*0.66)</f>
        <v>0</v>
      </c>
      <c r="D29" s="162"/>
      <c r="E29" s="162"/>
      <c r="F29" s="162"/>
      <c r="G29" s="163" t="str">
        <f>IF(E3="FAIL","$0.00",IF(G20="F","$0.00",IF(G16="F","$0.00",IF(E3="PASS",G27,))))</f>
        <v>$0.00</v>
      </c>
      <c r="H29" s="212"/>
      <c r="I29" s="212"/>
      <c r="J29" s="212"/>
      <c r="K29" s="212"/>
      <c r="L29" s="207"/>
      <c r="M29" s="207"/>
    </row>
    <row r="30" spans="1:13" s="119" customFormat="1" ht="40.5" customHeight="1" thickBot="1">
      <c r="A30" s="167" t="s">
        <v>72</v>
      </c>
      <c r="B30" s="164"/>
      <c r="C30" s="316">
        <f>SUM(G29*0.33)</f>
        <v>0</v>
      </c>
      <c r="H30" s="212"/>
      <c r="I30" s="212"/>
      <c r="J30" s="212"/>
      <c r="K30" s="212"/>
      <c r="L30" s="207"/>
      <c r="M30" s="207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34"/>
      <c r="C35" s="34"/>
    </row>
    <row r="36" spans="2:3">
      <c r="B36" s="95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  <row r="42" spans="2:3">
      <c r="B42" s="34"/>
      <c r="C42" s="34"/>
    </row>
  </sheetData>
  <sheetProtection algorithmName="SHA-512" hashValue="JO/mZLpC4En2Uoea+6b4tudHO9/aPiHVb0+9iaw7cN8Dqq+bppQGnKcR//ErfbSEKU0KlnF3XlDgJa5VX5x76A==" saltValue="GBfcSBJmW/jf8lDeCvyAHA==" spinCount="100000" sheet="1" objects="1" scenarios="1"/>
  <conditionalFormatting sqref="B19:G19">
    <cfRule type="cellIs" dxfId="734" priority="44" stopIfTrue="1" operator="greaterThanOrEqual">
      <formula>0.27</formula>
    </cfRule>
    <cfRule type="cellIs" dxfId="733" priority="45" stopIfTrue="1" operator="between">
      <formula>0.23</formula>
      <formula>0.25</formula>
    </cfRule>
    <cfRule type="cellIs" dxfId="732" priority="46" stopIfTrue="1" operator="lessThan">
      <formula>0.2</formula>
    </cfRule>
    <cfRule type="cellIs" dxfId="731" priority="56" stopIfTrue="1" operator="between">
      <formula>0.2</formula>
      <formula>0.2299</formula>
    </cfRule>
  </conditionalFormatting>
  <conditionalFormatting sqref="B15:G15">
    <cfRule type="cellIs" dxfId="730" priority="55" stopIfTrue="1" operator="between">
      <formula>0.3</formula>
      <formula>0.32</formula>
    </cfRule>
  </conditionalFormatting>
  <conditionalFormatting sqref="B10:G10">
    <cfRule type="cellIs" dxfId="729" priority="50" stopIfTrue="1" operator="greaterThan">
      <formula>0.1</formula>
    </cfRule>
    <cfRule type="cellIs" dxfId="728" priority="51" stopIfTrue="1" operator="greaterThan">
      <formula>0.07</formula>
    </cfRule>
    <cfRule type="cellIs" dxfId="727" priority="52" stopIfTrue="1" operator="greaterThan">
      <formula>0.02</formula>
    </cfRule>
  </conditionalFormatting>
  <conditionalFormatting sqref="B15:G15">
    <cfRule type="cellIs" dxfId="726" priority="47" stopIfTrue="1" operator="greaterThanOrEqual">
      <formula>0.32</formula>
    </cfRule>
    <cfRule type="cellIs" dxfId="725" priority="48" stopIfTrue="1" operator="between">
      <formula>0.27</formula>
      <formula>0.3</formula>
    </cfRule>
    <cfRule type="cellIs" dxfId="724" priority="49" stopIfTrue="1" operator="lessThanOrEqual">
      <formula>0.27</formula>
    </cfRule>
  </conditionalFormatting>
  <conditionalFormatting sqref="B24:G24">
    <cfRule type="cellIs" dxfId="723" priority="43" stopIfTrue="1" operator="greaterThan">
      <formula>10</formula>
    </cfRule>
  </conditionalFormatting>
  <conditionalFormatting sqref="B26:G26 B28:G28 B27:F27">
    <cfRule type="cellIs" dxfId="722" priority="42" stopIfTrue="1" operator="lessThan">
      <formula>0</formula>
    </cfRule>
  </conditionalFormatting>
  <conditionalFormatting sqref="B10:G10">
    <cfRule type="cellIs" dxfId="721" priority="41" stopIfTrue="1" operator="lessThanOrEqual">
      <formula>0.02</formula>
    </cfRule>
  </conditionalFormatting>
  <conditionalFormatting sqref="B11:G12">
    <cfRule type="cellIs" dxfId="720" priority="37" stopIfTrue="1" operator="equal">
      <formula>"F"</formula>
    </cfRule>
    <cfRule type="cellIs" dxfId="719" priority="38" stopIfTrue="1" operator="equal">
      <formula>"C"</formula>
    </cfRule>
    <cfRule type="cellIs" dxfId="718" priority="39" stopIfTrue="1" operator="equal">
      <formula>"B"</formula>
    </cfRule>
    <cfRule type="cellIs" dxfId="717" priority="40" stopIfTrue="1" operator="equal">
      <formula>"A"</formula>
    </cfRule>
  </conditionalFormatting>
  <conditionalFormatting sqref="B16:G16 F17">
    <cfRule type="cellIs" dxfId="716" priority="29" stopIfTrue="1" operator="equal">
      <formula>"F"</formula>
    </cfRule>
    <cfRule type="cellIs" dxfId="715" priority="30" stopIfTrue="1" operator="equal">
      <formula>"C"</formula>
    </cfRule>
    <cfRule type="cellIs" dxfId="714" priority="31" stopIfTrue="1" operator="equal">
      <formula>"B"</formula>
    </cfRule>
    <cfRule type="cellIs" dxfId="713" priority="32" stopIfTrue="1" operator="equal">
      <formula>"A"</formula>
    </cfRule>
  </conditionalFormatting>
  <conditionalFormatting sqref="B20:G20 B21:F22">
    <cfRule type="cellIs" dxfId="712" priority="25" stopIfTrue="1" operator="equal">
      <formula>"F"</formula>
    </cfRule>
    <cfRule type="cellIs" dxfId="711" priority="26" stopIfTrue="1" operator="equal">
      <formula>"C"</formula>
    </cfRule>
    <cfRule type="cellIs" dxfId="710" priority="27" stopIfTrue="1" operator="equal">
      <formula>"B"</formula>
    </cfRule>
    <cfRule type="cellIs" dxfId="709" priority="28" stopIfTrue="1" operator="equal">
      <formula>"A"</formula>
    </cfRule>
  </conditionalFormatting>
  <conditionalFormatting sqref="H24">
    <cfRule type="cellIs" dxfId="708" priority="24" stopIfTrue="1" operator="lessThan">
      <formula>0</formula>
    </cfRule>
  </conditionalFormatting>
  <conditionalFormatting sqref="G17">
    <cfRule type="cellIs" dxfId="707" priority="20" stopIfTrue="1" operator="equal">
      <formula>"F"</formula>
    </cfRule>
    <cfRule type="cellIs" dxfId="706" priority="21" stopIfTrue="1" operator="equal">
      <formula>"C"</formula>
    </cfRule>
    <cfRule type="cellIs" dxfId="705" priority="22" stopIfTrue="1" operator="equal">
      <formula>"B"</formula>
    </cfRule>
    <cfRule type="cellIs" dxfId="704" priority="23" stopIfTrue="1" operator="equal">
      <formula>"A"</formula>
    </cfRule>
  </conditionalFormatting>
  <conditionalFormatting sqref="G21:G22">
    <cfRule type="cellIs" dxfId="703" priority="16" stopIfTrue="1" operator="equal">
      <formula>"F"</formula>
    </cfRule>
    <cfRule type="cellIs" dxfId="702" priority="17" stopIfTrue="1" operator="equal">
      <formula>"C"</formula>
    </cfRule>
    <cfRule type="cellIs" dxfId="701" priority="18" stopIfTrue="1" operator="equal">
      <formula>"B"</formula>
    </cfRule>
    <cfRule type="cellIs" dxfId="700" priority="19" stopIfTrue="1" operator="equal">
      <formula>"A"</formula>
    </cfRule>
  </conditionalFormatting>
  <conditionalFormatting sqref="I24:I26">
    <cfRule type="cellIs" dxfId="699" priority="14" stopIfTrue="1" operator="lessThan">
      <formula>0</formula>
    </cfRule>
  </conditionalFormatting>
  <conditionalFormatting sqref="E3">
    <cfRule type="containsText" dxfId="698" priority="12" stopIfTrue="1" operator="containsText" text="PASS">
      <formula>NOT(ISERROR(SEARCH("PASS",E3)))</formula>
    </cfRule>
    <cfRule type="containsText" dxfId="697" priority="13" stopIfTrue="1" operator="containsText" text="FAIL">
      <formula>NOT(ISERROR(SEARCH("FAIL",E3)))</formula>
    </cfRule>
  </conditionalFormatting>
  <conditionalFormatting sqref="B23:F23">
    <cfRule type="cellIs" dxfId="696" priority="7" operator="lessThanOrEqual">
      <formula>$B$22</formula>
    </cfRule>
    <cfRule type="cellIs" dxfId="695" priority="8" operator="greaterThanOrEqual">
      <formula>$B$22</formula>
    </cfRule>
  </conditionalFormatting>
  <conditionalFormatting sqref="G23">
    <cfRule type="cellIs" dxfId="694" priority="1" operator="lessThanOrEqual">
      <formula>$B$22</formula>
    </cfRule>
    <cfRule type="cellIs" dxfId="693" priority="2" operator="greaterThanOrEqual">
      <formula>$B$22</formula>
    </cfRule>
  </conditionalFormatting>
  <pageMargins left="0.7" right="0.7" top="0.75" bottom="0.75" header="0.3" footer="0.3"/>
  <pageSetup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F26" sqref="F26"/>
    </sheetView>
  </sheetViews>
  <sheetFormatPr defaultRowHeight="15"/>
  <cols>
    <col min="1" max="1" width="32.28515625" style="166" customWidth="1"/>
    <col min="2" max="2" width="22" bestFit="1" customWidth="1"/>
    <col min="3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82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>
        <v>13503</v>
      </c>
      <c r="C5" s="115">
        <v>14682.5</v>
      </c>
      <c r="D5" s="115">
        <v>13381</v>
      </c>
      <c r="E5" s="114">
        <v>14503</v>
      </c>
      <c r="F5" s="114">
        <v>14860</v>
      </c>
      <c r="G5" s="116">
        <f>SUM(B5:F5)</f>
        <v>70929.5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>
        <v>43866</v>
      </c>
      <c r="C6" s="347">
        <f>B6+7</f>
        <v>43873</v>
      </c>
      <c r="D6" s="347">
        <f>C6+7</f>
        <v>43880</v>
      </c>
      <c r="E6" s="347">
        <f>D6+7</f>
        <v>43887</v>
      </c>
      <c r="F6" s="347">
        <f>E6+7</f>
        <v>43894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>
        <v>13443</v>
      </c>
      <c r="C7" s="115">
        <v>12057.5</v>
      </c>
      <c r="D7" s="115">
        <v>12132.7</v>
      </c>
      <c r="E7" s="114">
        <v>14104</v>
      </c>
      <c r="F7" s="114">
        <v>15518.9</v>
      </c>
      <c r="G7" s="116">
        <f>SUM(B7:F7)</f>
        <v>67256.099999999991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>
        <v>254</v>
      </c>
      <c r="C8" s="121">
        <v>120</v>
      </c>
      <c r="D8" s="115">
        <v>0</v>
      </c>
      <c r="E8" s="115">
        <v>240</v>
      </c>
      <c r="F8" s="120">
        <v>130</v>
      </c>
      <c r="G8" s="116">
        <f>SUM(B8:F8)</f>
        <v>744</v>
      </c>
      <c r="H8" s="255">
        <f>SUM(G8*0.03)</f>
        <v>22.32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13189</v>
      </c>
      <c r="C9" s="296">
        <f>SUM(C7-C8)</f>
        <v>11937.5</v>
      </c>
      <c r="D9" s="296">
        <f t="shared" ref="D9:F9" si="0">SUM(D7-D8)</f>
        <v>12132.7</v>
      </c>
      <c r="E9" s="296">
        <f t="shared" si="0"/>
        <v>13864</v>
      </c>
      <c r="F9" s="296">
        <f t="shared" si="0"/>
        <v>15388.9</v>
      </c>
      <c r="G9" s="307">
        <f>SUM(G7-G8)</f>
        <v>66512.099999999991</v>
      </c>
      <c r="H9" s="123" t="str">
        <f>IF(G9&gt;=71000,"A",IF(G9&gt;55000,"B",IF(G9&lt;=55000,"C")))</f>
        <v>B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>
        <f>(B7-B5)/B5</f>
        <v>-4.4434570095534323E-3</v>
      </c>
      <c r="C10" s="128">
        <f t="shared" ref="C10:F10" si="1">(C7-C5)/C5</f>
        <v>-0.17878426698450536</v>
      </c>
      <c r="D10" s="128">
        <f t="shared" si="1"/>
        <v>-9.3288991854121456E-2</v>
      </c>
      <c r="E10" s="128">
        <f t="shared" si="1"/>
        <v>-2.7511549334620425E-2</v>
      </c>
      <c r="F10" s="128">
        <f t="shared" si="1"/>
        <v>4.4340511440107644E-2</v>
      </c>
      <c r="G10" s="129">
        <f>(G7-G5)/G5</f>
        <v>-5.1789452907464575E-2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str">
        <f>IF(B10&gt;=10%,"A",IF(B10&gt;=7%,"B",IF(B10&gt;2%,"C",IF(B10&lt;2%,"F",))))</f>
        <v>F</v>
      </c>
      <c r="C11" s="308" t="str">
        <f t="shared" ref="C11:F11" si="2">IF(C10&gt;=10%,"A",IF(C10&gt;=7%,"B",IF(C10&gt;2%,"C",IF(C10&lt;2%,"F",))))</f>
        <v>F</v>
      </c>
      <c r="D11" s="308" t="str">
        <f t="shared" si="2"/>
        <v>F</v>
      </c>
      <c r="E11" s="308" t="str">
        <f t="shared" si="2"/>
        <v>F</v>
      </c>
      <c r="F11" s="308" t="str">
        <f t="shared" si="2"/>
        <v>C</v>
      </c>
      <c r="G11" s="130" t="str">
        <f>IF(G10&gt;=10%,"A",IF(G10&gt;=7%,"B",IF(G10&gt;2%,"C",IF(G10&lt;2%,"F",))))</f>
        <v>F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>
        <f>LOOKUP(G11,J9:K12)</f>
        <v>0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>
        <v>3549.5</v>
      </c>
      <c r="C13" s="115">
        <v>3274.73</v>
      </c>
      <c r="D13" s="115">
        <v>3251.72</v>
      </c>
      <c r="E13" s="115">
        <v>3698.72</v>
      </c>
      <c r="F13" s="120">
        <v>4172.07</v>
      </c>
      <c r="G13" s="116">
        <f>SUM(B13:F13)+G14</f>
        <v>17929.849999999999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>
        <v>0</v>
      </c>
      <c r="C14" s="115">
        <v>0</v>
      </c>
      <c r="D14" s="115">
        <v>-16.89</v>
      </c>
      <c r="E14" s="115">
        <v>0</v>
      </c>
      <c r="F14" s="120">
        <v>0</v>
      </c>
      <c r="G14" s="116">
        <f>SUM(B14:F14)</f>
        <v>-16.89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>
        <f>SUM(B13/B7)</f>
        <v>0.26404076471025811</v>
      </c>
      <c r="C15" s="129">
        <f t="shared" ref="C15:F15" si="3">SUM(C13/C7)</f>
        <v>0.27159278457391667</v>
      </c>
      <c r="D15" s="129">
        <f t="shared" si="3"/>
        <v>0.26801289078276058</v>
      </c>
      <c r="E15" s="129">
        <f t="shared" si="3"/>
        <v>0.2622461712989223</v>
      </c>
      <c r="F15" s="129">
        <f t="shared" si="3"/>
        <v>0.26883799753848531</v>
      </c>
      <c r="G15" s="129">
        <f>SUM(G13/G7)</f>
        <v>0.26659068842826156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str">
        <f>IF(B15&lt;=27%,"A",IF(B15&lt;=30%,"B",IF(B15&lt;32%,"C",IF(B15&gt;=32%,"F",))))</f>
        <v>A</v>
      </c>
      <c r="C16" s="308" t="str">
        <f t="shared" ref="C16:F16" si="4">IF(C15&lt;=27%,"A",IF(C15&lt;=30%,"B",IF(C15&lt;32%,"C",IF(C15&gt;=32%,"F",))))</f>
        <v>B</v>
      </c>
      <c r="D16" s="308" t="str">
        <f t="shared" si="4"/>
        <v>A</v>
      </c>
      <c r="E16" s="308" t="str">
        <f t="shared" si="4"/>
        <v>A</v>
      </c>
      <c r="F16" s="308" t="str">
        <f t="shared" si="4"/>
        <v>A</v>
      </c>
      <c r="G16" s="130" t="str">
        <f>IF(G15&lt;=27%,"A",IF(G15&lt;=30%,"B",IF(G15&lt;=32%,"C",IF(G15&gt;32%,"F",))))</f>
        <v>A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>
        <f>LOOKUP(G16,J9:K12)</f>
        <v>50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>
        <v>3189.2</v>
      </c>
      <c r="C18" s="115">
        <v>3141.3</v>
      </c>
      <c r="D18" s="115">
        <v>3147.8</v>
      </c>
      <c r="E18" s="115">
        <v>3081.6</v>
      </c>
      <c r="F18" s="115">
        <v>3181.6</v>
      </c>
      <c r="G18" s="116">
        <f>SUM(B18:F18)</f>
        <v>15741.5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>
        <f>SUM(B18/B7)</f>
        <v>0.23723871159711374</v>
      </c>
      <c r="C19" s="129">
        <f t="shared" ref="C19:F19" si="5">SUM(C18/C7)</f>
        <v>0.26052664316815261</v>
      </c>
      <c r="D19" s="129">
        <f t="shared" si="5"/>
        <v>0.2594476085290166</v>
      </c>
      <c r="E19" s="129">
        <f t="shared" si="5"/>
        <v>0.21849120816789563</v>
      </c>
      <c r="F19" s="129">
        <f t="shared" si="5"/>
        <v>0.20501453066905514</v>
      </c>
      <c r="G19" s="129">
        <f>SUM(G18/G7)</f>
        <v>0.23405311934530848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str">
        <f>IF(B19&lt;=20%,"A",IF(B19&lt;=23%,"B",IF(B19&lt;25%,"C",IF(B19&gt;=25%,"F",))))</f>
        <v>C</v>
      </c>
      <c r="C20" s="308" t="str">
        <f>IF(C19&lt;=20%,"A",IF(C19&lt;=23%,"B",IF(C19&lt;25%,"C",IF(C19&gt;=25%,"F",IF))))</f>
        <v>F</v>
      </c>
      <c r="D20" s="308" t="str">
        <f>IF(D19&lt;=20%,"A",IF(D19&lt;=23%,"B",IF(D19&lt;25%,"C",IF(D19&gt;=25%,"F",IF))))</f>
        <v>F</v>
      </c>
      <c r="E20" s="308" t="str">
        <f>IF(E19&lt;=20%,"A",IF(E19&lt;=23%,"B",IF(E19&lt;25%,"C",IF(E19&gt;=25%,"F",IF))))</f>
        <v>B</v>
      </c>
      <c r="F20" s="308" t="str">
        <f>IF(F19&lt;=20%,"A",IF(F19&lt;=23%,"B",IF(F19&lt;25%,"C",IF(F19&gt;=25%,"F",IF))))</f>
        <v>B</v>
      </c>
      <c r="G20" s="130" t="str">
        <f>IF(G19&lt;=20%,"A",IF(G19&lt;=23%,"B",IF(G19&lt;=25%,"C",IF(G19&gt;25%,"F",IF))))</f>
        <v>C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>
        <f>LOOKUP(G20,J9:K12)</f>
        <v>20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>
        <v>0.79</v>
      </c>
      <c r="C22" s="295">
        <v>0.79</v>
      </c>
      <c r="D22" s="295">
        <v>0.79</v>
      </c>
      <c r="E22" s="295">
        <v>0.79</v>
      </c>
      <c r="F22" s="327">
        <v>0.79</v>
      </c>
      <c r="G22" s="312">
        <f>AVERAGE(B22:F22)</f>
        <v>0.79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>
        <v>0.17</v>
      </c>
      <c r="C23" s="295">
        <v>0.88</v>
      </c>
      <c r="D23" s="295">
        <v>1</v>
      </c>
      <c r="E23" s="295">
        <v>0.25</v>
      </c>
      <c r="F23" s="295">
        <v>1</v>
      </c>
      <c r="G23" s="352">
        <f>AVERAGE(B23:F23)</f>
        <v>0.65999999999999992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$-25</v>
      </c>
      <c r="C24" s="313" t="str">
        <f t="shared" si="6"/>
        <v>0</v>
      </c>
      <c r="D24" s="313" t="str">
        <f t="shared" si="6"/>
        <v>0</v>
      </c>
      <c r="E24" s="313" t="str">
        <f t="shared" si="6"/>
        <v>$-25</v>
      </c>
      <c r="F24" s="313" t="str">
        <f t="shared" si="6"/>
        <v>0</v>
      </c>
      <c r="G24" s="313" t="str">
        <f t="shared" si="6"/>
        <v>$-25</v>
      </c>
      <c r="H24" s="149">
        <f>SUM(+G12+G17+G21)</f>
        <v>70</v>
      </c>
      <c r="I24" s="150" t="s">
        <v>2</v>
      </c>
      <c r="J24" s="151">
        <f>SUM(H26*1.5)</f>
        <v>94.394999999999982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>
        <v>-0.75</v>
      </c>
      <c r="C25" s="115">
        <v>-3.64</v>
      </c>
      <c r="D25" s="115">
        <v>0</v>
      </c>
      <c r="E25" s="115">
        <v>0</v>
      </c>
      <c r="F25" s="115">
        <v>0</v>
      </c>
      <c r="G25" s="307">
        <f>SUM(B25:F25)</f>
        <v>-4.3900000000000006</v>
      </c>
      <c r="H25" s="149">
        <f>SUM(G24+G26)</f>
        <v>-29.39</v>
      </c>
      <c r="I25" s="152" t="s">
        <v>3</v>
      </c>
      <c r="J25" s="153">
        <f>SUM(H26*1.25)</f>
        <v>78.662499999999994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-0.75</v>
      </c>
      <c r="C26" s="307">
        <f t="shared" ref="C26:F26" si="7">C25</f>
        <v>-3.64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-4.3900000000000006</v>
      </c>
      <c r="H26" s="155">
        <f>SUM(+H8+H24+H25)</f>
        <v>62.929999999999993</v>
      </c>
      <c r="I26" s="150" t="s">
        <v>4</v>
      </c>
      <c r="J26" s="249">
        <f>SUM(H26*1)</f>
        <v>62.929999999999993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>
        <f>LOOKUP(H9,I24:J26)</f>
        <v>78.662499999999994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>
        <f>SUM(G29*0.66)</f>
        <v>51.917249999999996</v>
      </c>
      <c r="D29" s="162"/>
      <c r="E29" s="162"/>
      <c r="F29" s="162"/>
      <c r="G29" s="163">
        <f>IF(E3="FAIL","$0.00",IF(G20="F","$0.00",IF(G16="F","$0.00",IF(E3="PASS",G27,))))</f>
        <v>78.662499999999994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>
        <f>SUM(G29*0.33)</f>
        <v>25.958624999999998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X6vVr0JQiy5Hzf7nivGOGOytosQvEP5tI3FajsRSyaqvlNvoY2QGnrw2x0EbNGlnILZDqpCplGUG0JBizaVjnw==" saltValue="itnYNdxnqR65KOZVeSTTDA==" spinCount="100000" sheet="1" objects="1" scenarios="1"/>
  <conditionalFormatting sqref="H24">
    <cfRule type="cellIs" dxfId="692" priority="65" stopIfTrue="1" operator="lessThan">
      <formula>0</formula>
    </cfRule>
  </conditionalFormatting>
  <conditionalFormatting sqref="I24:I26">
    <cfRule type="cellIs" dxfId="691" priority="56" stopIfTrue="1" operator="lessThan">
      <formula>0</formula>
    </cfRule>
  </conditionalFormatting>
  <conditionalFormatting sqref="E3">
    <cfRule type="containsText" dxfId="690" priority="54" stopIfTrue="1" operator="containsText" text="PASS">
      <formula>NOT(ISERROR(SEARCH("PASS",E3)))</formula>
    </cfRule>
    <cfRule type="containsText" dxfId="689" priority="55" stopIfTrue="1" operator="containsText" text="FAIL">
      <formula>NOT(ISERROR(SEARCH("FAIL",E3)))</formula>
    </cfRule>
  </conditionalFormatting>
  <conditionalFormatting sqref="B19:G19">
    <cfRule type="cellIs" dxfId="688" priority="43" stopIfTrue="1" operator="greaterThanOrEqual">
      <formula>0.27</formula>
    </cfRule>
    <cfRule type="cellIs" dxfId="687" priority="44" stopIfTrue="1" operator="between">
      <formula>0.23</formula>
      <formula>0.25</formula>
    </cfRule>
    <cfRule type="cellIs" dxfId="686" priority="45" stopIfTrue="1" operator="lessThan">
      <formula>0.2</formula>
    </cfRule>
    <cfRule type="cellIs" dxfId="685" priority="53" stopIfTrue="1" operator="between">
      <formula>0.2</formula>
      <formula>0.2299</formula>
    </cfRule>
  </conditionalFormatting>
  <conditionalFormatting sqref="B15:G15">
    <cfRule type="cellIs" dxfId="684" priority="52" stopIfTrue="1" operator="between">
      <formula>0.3</formula>
      <formula>0.32</formula>
    </cfRule>
  </conditionalFormatting>
  <conditionalFormatting sqref="B10:G10">
    <cfRule type="cellIs" dxfId="683" priority="49" stopIfTrue="1" operator="greaterThan">
      <formula>0.1</formula>
    </cfRule>
    <cfRule type="cellIs" dxfId="682" priority="50" stopIfTrue="1" operator="greaterThan">
      <formula>0.07</formula>
    </cfRule>
    <cfRule type="cellIs" dxfId="681" priority="51" stopIfTrue="1" operator="greaterThan">
      <formula>0.02</formula>
    </cfRule>
  </conditionalFormatting>
  <conditionalFormatting sqref="B15:G15">
    <cfRule type="cellIs" dxfId="680" priority="46" stopIfTrue="1" operator="greaterThanOrEqual">
      <formula>0.32</formula>
    </cfRule>
    <cfRule type="cellIs" dxfId="679" priority="47" stopIfTrue="1" operator="between">
      <formula>0.27</formula>
      <formula>0.3</formula>
    </cfRule>
    <cfRule type="cellIs" dxfId="678" priority="48" stopIfTrue="1" operator="lessThanOrEqual">
      <formula>0.27</formula>
    </cfRule>
  </conditionalFormatting>
  <conditionalFormatting sqref="B26:G26 B28:G28 B27:F27">
    <cfRule type="cellIs" dxfId="677" priority="41" stopIfTrue="1" operator="lessThan">
      <formula>0</formula>
    </cfRule>
  </conditionalFormatting>
  <conditionalFormatting sqref="B10:G10">
    <cfRule type="cellIs" dxfId="676" priority="40" stopIfTrue="1" operator="lessThanOrEqual">
      <formula>0.02</formula>
    </cfRule>
  </conditionalFormatting>
  <conditionalFormatting sqref="B11:G12">
    <cfRule type="cellIs" dxfId="675" priority="36" stopIfTrue="1" operator="equal">
      <formula>"F"</formula>
    </cfRule>
    <cfRule type="cellIs" dxfId="674" priority="37" stopIfTrue="1" operator="equal">
      <formula>"C"</formula>
    </cfRule>
    <cfRule type="cellIs" dxfId="673" priority="38" stopIfTrue="1" operator="equal">
      <formula>"B"</formula>
    </cfRule>
    <cfRule type="cellIs" dxfId="672" priority="39" stopIfTrue="1" operator="equal">
      <formula>"A"</formula>
    </cfRule>
  </conditionalFormatting>
  <conditionalFormatting sqref="B16:G16 F17">
    <cfRule type="cellIs" dxfId="671" priority="32" stopIfTrue="1" operator="equal">
      <formula>"F"</formula>
    </cfRule>
    <cfRule type="cellIs" dxfId="670" priority="33" stopIfTrue="1" operator="equal">
      <formula>"C"</formula>
    </cfRule>
    <cfRule type="cellIs" dxfId="669" priority="34" stopIfTrue="1" operator="equal">
      <formula>"B"</formula>
    </cfRule>
    <cfRule type="cellIs" dxfId="668" priority="35" stopIfTrue="1" operator="equal">
      <formula>"A"</formula>
    </cfRule>
  </conditionalFormatting>
  <conditionalFormatting sqref="B20:G20 B21:F21">
    <cfRule type="cellIs" dxfId="667" priority="28" stopIfTrue="1" operator="equal">
      <formula>"F"</formula>
    </cfRule>
    <cfRule type="cellIs" dxfId="666" priority="29" stopIfTrue="1" operator="equal">
      <formula>"C"</formula>
    </cfRule>
    <cfRule type="cellIs" dxfId="665" priority="30" stopIfTrue="1" operator="equal">
      <formula>"B"</formula>
    </cfRule>
    <cfRule type="cellIs" dxfId="664" priority="31" stopIfTrue="1" operator="equal">
      <formula>"A"</formula>
    </cfRule>
  </conditionalFormatting>
  <conditionalFormatting sqref="G17">
    <cfRule type="cellIs" dxfId="663" priority="24" stopIfTrue="1" operator="equal">
      <formula>"F"</formula>
    </cfRule>
    <cfRule type="cellIs" dxfId="662" priority="25" stopIfTrue="1" operator="equal">
      <formula>"C"</formula>
    </cfRule>
    <cfRule type="cellIs" dxfId="661" priority="26" stopIfTrue="1" operator="equal">
      <formula>"B"</formula>
    </cfRule>
    <cfRule type="cellIs" dxfId="660" priority="27" stopIfTrue="1" operator="equal">
      <formula>"A"</formula>
    </cfRule>
  </conditionalFormatting>
  <conditionalFormatting sqref="G21">
    <cfRule type="cellIs" dxfId="659" priority="20" stopIfTrue="1" operator="equal">
      <formula>"F"</formula>
    </cfRule>
    <cfRule type="cellIs" dxfId="658" priority="21" stopIfTrue="1" operator="equal">
      <formula>"C"</formula>
    </cfRule>
    <cfRule type="cellIs" dxfId="657" priority="22" stopIfTrue="1" operator="equal">
      <formula>"B"</formula>
    </cfRule>
    <cfRule type="cellIs" dxfId="656" priority="23" stopIfTrue="1" operator="equal">
      <formula>"A"</formula>
    </cfRule>
  </conditionalFormatting>
  <conditionalFormatting sqref="B24:G24">
    <cfRule type="cellIs" dxfId="655" priority="15" stopIfTrue="1" operator="greaterThan">
      <formula>10</formula>
    </cfRule>
  </conditionalFormatting>
  <conditionalFormatting sqref="B22:F22">
    <cfRule type="cellIs" dxfId="654" priority="11" stopIfTrue="1" operator="equal">
      <formula>"F"</formula>
    </cfRule>
    <cfRule type="cellIs" dxfId="653" priority="12" stopIfTrue="1" operator="equal">
      <formula>"C"</formula>
    </cfRule>
    <cfRule type="cellIs" dxfId="652" priority="13" stopIfTrue="1" operator="equal">
      <formula>"B"</formula>
    </cfRule>
    <cfRule type="cellIs" dxfId="651" priority="14" stopIfTrue="1" operator="equal">
      <formula>"A"</formula>
    </cfRule>
  </conditionalFormatting>
  <conditionalFormatting sqref="G22">
    <cfRule type="cellIs" dxfId="650" priority="7" stopIfTrue="1" operator="equal">
      <formula>"F"</formula>
    </cfRule>
    <cfRule type="cellIs" dxfId="649" priority="8" stopIfTrue="1" operator="equal">
      <formula>"C"</formula>
    </cfRule>
    <cfRule type="cellIs" dxfId="648" priority="9" stopIfTrue="1" operator="equal">
      <formula>"B"</formula>
    </cfRule>
    <cfRule type="cellIs" dxfId="647" priority="10" stopIfTrue="1" operator="equal">
      <formula>"A"</formula>
    </cfRule>
  </conditionalFormatting>
  <conditionalFormatting sqref="B23:F23">
    <cfRule type="cellIs" dxfId="646" priority="5" operator="lessThanOrEqual">
      <formula>$B$22</formula>
    </cfRule>
    <cfRule type="cellIs" dxfId="645" priority="6" operator="greaterThanOrEqual">
      <formula>$B$22</formula>
    </cfRule>
  </conditionalFormatting>
  <conditionalFormatting sqref="G23">
    <cfRule type="cellIs" dxfId="644" priority="1" operator="lessThanOrEqual">
      <formula>$B$22</formula>
    </cfRule>
    <cfRule type="cellIs" dxfId="643" priority="2" operator="greaterThanOrEqual">
      <formula>$B$22</formula>
    </cfRule>
  </conditionalFormatting>
  <pageMargins left="0.7" right="0.7" top="0.75" bottom="0.75" header="0.3" footer="0.3"/>
  <pageSetup scale="58" orientation="portrait" horizontalDpi="0" verticalDpi="0" r:id="rId1"/>
  <colBreaks count="1" manualBreakCount="1">
    <brk id="7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23" zoomScaleNormal="100" workbookViewId="0">
      <selection activeCell="E31" sqref="E31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84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>
        <v>13975.11</v>
      </c>
      <c r="C5" s="115">
        <v>14781</v>
      </c>
      <c r="D5" s="115">
        <v>13863</v>
      </c>
      <c r="E5" s="114">
        <v>15022</v>
      </c>
      <c r="F5" s="114"/>
      <c r="G5" s="116">
        <f>SUM(B5:F5)</f>
        <v>57641.11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>
        <v>43901</v>
      </c>
      <c r="C6" s="347">
        <f>B6+7</f>
        <v>43908</v>
      </c>
      <c r="D6" s="347">
        <f>C6+7</f>
        <v>43915</v>
      </c>
      <c r="E6" s="347">
        <f>D6+7</f>
        <v>43922</v>
      </c>
      <c r="F6" s="347">
        <f>E6+7</f>
        <v>43929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>
        <v>14843</v>
      </c>
      <c r="C7" s="115">
        <v>9324.34</v>
      </c>
      <c r="D7" s="115">
        <v>7264</v>
      </c>
      <c r="E7" s="114">
        <v>7169.01</v>
      </c>
      <c r="F7" s="114"/>
      <c r="G7" s="116">
        <f>SUM(B7:F7)</f>
        <v>38600.35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>
        <v>0</v>
      </c>
      <c r="C8" s="121">
        <v>0</v>
      </c>
      <c r="D8" s="115">
        <v>400</v>
      </c>
      <c r="E8" s="115">
        <v>0</v>
      </c>
      <c r="F8" s="120"/>
      <c r="G8" s="116">
        <f>SUM(B8:F8)</f>
        <v>400</v>
      </c>
      <c r="H8" s="255">
        <f>SUM(G8*0.03)</f>
        <v>12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14843</v>
      </c>
      <c r="C9" s="296">
        <f>SUM(C7-C8)</f>
        <v>9324.34</v>
      </c>
      <c r="D9" s="296">
        <f t="shared" ref="D9:F9" si="0">SUM(D7-D8)</f>
        <v>6864</v>
      </c>
      <c r="E9" s="296">
        <f t="shared" si="0"/>
        <v>7169.01</v>
      </c>
      <c r="F9" s="296">
        <f t="shared" si="0"/>
        <v>0</v>
      </c>
      <c r="G9" s="307">
        <f>SUM(G7-G8)</f>
        <v>38200.35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>
        <f>(B7-B5)/B5</f>
        <v>6.2102552323380592E-2</v>
      </c>
      <c r="C10" s="128">
        <f t="shared" ref="C10:F10" si="1">(C7-C5)/C5</f>
        <v>-0.3691671740748258</v>
      </c>
      <c r="D10" s="128">
        <f t="shared" si="1"/>
        <v>-0.47601529250522973</v>
      </c>
      <c r="E10" s="128">
        <f t="shared" si="1"/>
        <v>-0.5227659432831846</v>
      </c>
      <c r="F10" s="128" t="e">
        <f t="shared" si="1"/>
        <v>#DIV/0!</v>
      </c>
      <c r="G10" s="129">
        <f>(G7-G5)/G5</f>
        <v>-0.33033298630092311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str">
        <f>IF(B10&gt;=10%,"A",IF(B10&gt;=7%,"B",IF(B10&gt;2%,"C",IF(B10&lt;2%,"F",))))</f>
        <v>C</v>
      </c>
      <c r="C11" s="308" t="str">
        <f t="shared" ref="C11:F11" si="2">IF(C10&gt;=10%,"A",IF(C10&gt;=7%,"B",IF(C10&gt;2%,"C",IF(C10&lt;2%,"F",))))</f>
        <v>F</v>
      </c>
      <c r="D11" s="308" t="str">
        <f t="shared" si="2"/>
        <v>F</v>
      </c>
      <c r="E11" s="308" t="str">
        <f t="shared" si="2"/>
        <v>F</v>
      </c>
      <c r="F11" s="308" t="e">
        <f t="shared" si="2"/>
        <v>#DIV/0!</v>
      </c>
      <c r="G11" s="130" t="str">
        <f>IF(G10&gt;=10%,"A",IF(G10&gt;=7%,"B",IF(G10&gt;2%,"C",IF(G10&lt;2%,"F",))))</f>
        <v>F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>
        <f>LOOKUP(G11,J9:K12)</f>
        <v>0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>
        <v>4750.51</v>
      </c>
      <c r="C13" s="115">
        <v>4198</v>
      </c>
      <c r="D13" s="115">
        <v>0</v>
      </c>
      <c r="E13" s="115">
        <v>1554.07</v>
      </c>
      <c r="F13" s="120"/>
      <c r="G13" s="116">
        <f>SUM(B13:F13)+G14</f>
        <v>10502.58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>
        <v>0</v>
      </c>
      <c r="C14" s="115">
        <v>0</v>
      </c>
      <c r="D14" s="115">
        <v>0</v>
      </c>
      <c r="E14" s="115">
        <v>0</v>
      </c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>
        <f>SUM(B13/B7)</f>
        <v>0.32005052886882707</v>
      </c>
      <c r="C15" s="129">
        <f t="shared" ref="C15:F15" si="3">SUM(C13/C7)</f>
        <v>0.45021953296426342</v>
      </c>
      <c r="D15" s="129">
        <f t="shared" si="3"/>
        <v>0</v>
      </c>
      <c r="E15" s="129">
        <f t="shared" si="3"/>
        <v>0.21677609600209791</v>
      </c>
      <c r="F15" s="129" t="e">
        <f t="shared" si="3"/>
        <v>#DIV/0!</v>
      </c>
      <c r="G15" s="129">
        <f>SUM(G13/G7)</f>
        <v>0.27208509767398481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str">
        <f>IF(B15&lt;=27%,"A",IF(B15&lt;=30%,"B",IF(B15&lt;32%,"C",IF(B15&gt;=32%,"F",))))</f>
        <v>F</v>
      </c>
      <c r="C16" s="308" t="str">
        <f t="shared" ref="C16:F16" si="4">IF(C15&lt;=27%,"A",IF(C15&lt;=30%,"B",IF(C15&lt;32%,"C",IF(C15&gt;=32%,"F",))))</f>
        <v>F</v>
      </c>
      <c r="D16" s="308" t="str">
        <f t="shared" si="4"/>
        <v>A</v>
      </c>
      <c r="E16" s="308" t="str">
        <f t="shared" si="4"/>
        <v>A</v>
      </c>
      <c r="F16" s="308" t="e">
        <f t="shared" si="4"/>
        <v>#DIV/0!</v>
      </c>
      <c r="G16" s="130" t="str">
        <f>IF(G15&lt;=27%,"A",IF(G15&lt;=30%,"B",IF(G15&lt;=32%,"C",IF(G15&gt;32%,"F",))))</f>
        <v>B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>
        <f>LOOKUP(G16,J9:K12)</f>
        <v>30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>
        <v>3420.7</v>
      </c>
      <c r="C18" s="115">
        <v>2696.8</v>
      </c>
      <c r="D18" s="115">
        <v>2058.1999999999998</v>
      </c>
      <c r="E18" s="115">
        <v>1788.5</v>
      </c>
      <c r="F18" s="115"/>
      <c r="G18" s="116">
        <f>SUM(B18:F18)</f>
        <v>9964.2000000000007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>
        <f>SUM(B18/B7)</f>
        <v>0.23045880212894967</v>
      </c>
      <c r="C19" s="129">
        <f t="shared" ref="C19:F19" si="5">SUM(C18/C7)</f>
        <v>0.28922154275798612</v>
      </c>
      <c r="D19" s="129">
        <f t="shared" si="5"/>
        <v>0.28334251101321584</v>
      </c>
      <c r="E19" s="129">
        <f t="shared" si="5"/>
        <v>0.24947656649941902</v>
      </c>
      <c r="F19" s="129" t="e">
        <f t="shared" si="5"/>
        <v>#DIV/0!</v>
      </c>
      <c r="G19" s="129">
        <f>SUM(G18/G7)</f>
        <v>0.25813755574755154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str">
        <f>IF(B19&lt;=20%,"A",IF(B19&lt;=23%,"B",IF(B19&lt;25%,"C",IF(B19&gt;=25%,"F",))))</f>
        <v>C</v>
      </c>
      <c r="C20" s="308" t="str">
        <f>IF(C19&lt;=20%,"A",IF(C19&lt;=23%,"B",IF(C19&lt;25%,"C",IF(C19&gt;=25%,"F",IF))))</f>
        <v>F</v>
      </c>
      <c r="D20" s="308" t="str">
        <f>IF(D19&lt;=20%,"A",IF(D19&lt;=23%,"B",IF(D19&lt;25%,"C",IF(D19&gt;=25%,"F",IF))))</f>
        <v>F</v>
      </c>
      <c r="E20" s="308" t="str">
        <f>IF(E19&lt;=20%,"A",IF(E19&lt;=23%,"B",IF(E19&lt;25%,"C",IF(E19&gt;=25%,"F",IF))))</f>
        <v>C</v>
      </c>
      <c r="F20" s="308" t="e">
        <f>IF(F19&lt;=20%,"A",IF(F19&lt;=23%,"B",IF(F19&lt;25%,"C",IF(F19&gt;=25%,"F",IF))))</f>
        <v>#DIV/0!</v>
      </c>
      <c r="G20" s="130" t="str">
        <f>IF(G19&lt;=20%,"A",IF(G19&lt;=23%,"B",IF(G19&lt;=25%,"C",IF(G19&gt;25%,"F",IF))))</f>
        <v>F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>
        <f>LOOKUP(G20,J9:K12)</f>
        <v>0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>
        <v>0.71</v>
      </c>
      <c r="C22" s="295">
        <v>0.71</v>
      </c>
      <c r="D22" s="295">
        <v>0.72</v>
      </c>
      <c r="E22" s="295">
        <v>0.68</v>
      </c>
      <c r="F22" s="327"/>
      <c r="G22" s="312">
        <f>AVERAGE(B22:F22)</f>
        <v>0.70499999999999996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>
        <v>0.89</v>
      </c>
      <c r="C23" s="295">
        <v>0.46</v>
      </c>
      <c r="D23" s="295">
        <v>0.5</v>
      </c>
      <c r="E23" s="295">
        <v>0.67</v>
      </c>
      <c r="F23" s="295"/>
      <c r="G23" s="352">
        <f>AVERAGE(B23:F23)</f>
        <v>0.63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0</v>
      </c>
      <c r="C24" s="313" t="str">
        <f t="shared" si="6"/>
        <v>$-25</v>
      </c>
      <c r="D24" s="313" t="str">
        <f t="shared" si="6"/>
        <v>$-25</v>
      </c>
      <c r="E24" s="313" t="str">
        <f t="shared" si="6"/>
        <v>$-25</v>
      </c>
      <c r="F24" s="313" t="str">
        <f t="shared" si="6"/>
        <v>0</v>
      </c>
      <c r="G24" s="313" t="str">
        <f t="shared" si="6"/>
        <v>$-25</v>
      </c>
      <c r="H24" s="149">
        <f>SUM(+G12+G17+G21)</f>
        <v>30</v>
      </c>
      <c r="I24" s="150" t="s">
        <v>2</v>
      </c>
      <c r="J24" s="151">
        <f>SUM(H26*1.5)</f>
        <v>24.57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>
        <v>0</v>
      </c>
      <c r="C25" s="115">
        <v>0</v>
      </c>
      <c r="D25" s="115"/>
      <c r="E25" s="115">
        <v>-0.62</v>
      </c>
      <c r="F25" s="115"/>
      <c r="G25" s="307">
        <f>SUM(B25:F25)</f>
        <v>-0.62</v>
      </c>
      <c r="H25" s="149">
        <f>SUM(G24+G26)</f>
        <v>-25.62</v>
      </c>
      <c r="I25" s="152" t="s">
        <v>3</v>
      </c>
      <c r="J25" s="153">
        <f>SUM(H26*1.25)</f>
        <v>20.474999999999998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-0.62</v>
      </c>
      <c r="F26" s="307">
        <f t="shared" si="7"/>
        <v>0</v>
      </c>
      <c r="G26" s="307">
        <f>G25</f>
        <v>-0.62</v>
      </c>
      <c r="H26" s="155">
        <f>SUM(+H8+H24+H25)</f>
        <v>16.38</v>
      </c>
      <c r="I26" s="150" t="s">
        <v>4</v>
      </c>
      <c r="J26" s="249">
        <f>SUM(H26*1)</f>
        <v>16.38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>
        <f>LOOKUP(H9,I24:J26)</f>
        <v>16.38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>
        <f>SUM(G29*0.66)</f>
        <v>0</v>
      </c>
      <c r="D29" s="162"/>
      <c r="E29" s="162"/>
      <c r="F29" s="162"/>
      <c r="G29" s="163" t="str">
        <f>IF(E3="FAIL","$0.00",IF(G20="F","$0.00",IF(G16="F","$0.00",IF(E3="PASS",G27,))))</f>
        <v>$0.00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>
        <f>SUM(G29*0.33)</f>
        <v>0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xMVWIMIeFONb8taGQX1x4JHpUIEnoXVXA44BD8kv/b2qLihYHxlIjttzBtXQQ6Vb9J5cQGOvKER/2UBXzpeiQw==" saltValue="Jpg74e8wpZwuO5NQuSBB/Q==" spinCount="100000" sheet="1" objects="1" scenarios="1"/>
  <conditionalFormatting sqref="H24">
    <cfRule type="cellIs" dxfId="642" priority="65" stopIfTrue="1" operator="lessThan">
      <formula>0</formula>
    </cfRule>
  </conditionalFormatting>
  <conditionalFormatting sqref="I24:I26">
    <cfRule type="cellIs" dxfId="641" priority="56" stopIfTrue="1" operator="lessThan">
      <formula>0</formula>
    </cfRule>
  </conditionalFormatting>
  <conditionalFormatting sqref="E3">
    <cfRule type="containsText" dxfId="640" priority="54" stopIfTrue="1" operator="containsText" text="PASS">
      <formula>NOT(ISERROR(SEARCH("PASS",E3)))</formula>
    </cfRule>
    <cfRule type="containsText" dxfId="639" priority="55" stopIfTrue="1" operator="containsText" text="FAIL">
      <formula>NOT(ISERROR(SEARCH("FAIL",E3)))</formula>
    </cfRule>
  </conditionalFormatting>
  <conditionalFormatting sqref="B19:G19">
    <cfRule type="cellIs" dxfId="638" priority="43" stopIfTrue="1" operator="greaterThanOrEqual">
      <formula>0.27</formula>
    </cfRule>
    <cfRule type="cellIs" dxfId="637" priority="44" stopIfTrue="1" operator="between">
      <formula>0.23</formula>
      <formula>0.25</formula>
    </cfRule>
    <cfRule type="cellIs" dxfId="636" priority="45" stopIfTrue="1" operator="lessThan">
      <formula>0.2</formula>
    </cfRule>
    <cfRule type="cellIs" dxfId="635" priority="53" stopIfTrue="1" operator="between">
      <formula>0.2</formula>
      <formula>0.2299</formula>
    </cfRule>
  </conditionalFormatting>
  <conditionalFormatting sqref="B15:G15">
    <cfRule type="cellIs" dxfId="634" priority="52" stopIfTrue="1" operator="between">
      <formula>0.3</formula>
      <formula>0.32</formula>
    </cfRule>
  </conditionalFormatting>
  <conditionalFormatting sqref="B10:G10">
    <cfRule type="cellIs" dxfId="633" priority="49" stopIfTrue="1" operator="greaterThan">
      <formula>0.1</formula>
    </cfRule>
    <cfRule type="cellIs" dxfId="632" priority="50" stopIfTrue="1" operator="greaterThan">
      <formula>0.07</formula>
    </cfRule>
    <cfRule type="cellIs" dxfId="631" priority="51" stopIfTrue="1" operator="greaterThan">
      <formula>0.02</formula>
    </cfRule>
  </conditionalFormatting>
  <conditionalFormatting sqref="B15:G15">
    <cfRule type="cellIs" dxfId="630" priority="46" stopIfTrue="1" operator="greaterThanOrEqual">
      <formula>0.32</formula>
    </cfRule>
    <cfRule type="cellIs" dxfId="629" priority="47" stopIfTrue="1" operator="between">
      <formula>0.27</formula>
      <formula>0.3</formula>
    </cfRule>
    <cfRule type="cellIs" dxfId="628" priority="48" stopIfTrue="1" operator="lessThanOrEqual">
      <formula>0.27</formula>
    </cfRule>
  </conditionalFormatting>
  <conditionalFormatting sqref="B26:G26 B28:G28 B27:F27">
    <cfRule type="cellIs" dxfId="627" priority="41" stopIfTrue="1" operator="lessThan">
      <formula>0</formula>
    </cfRule>
  </conditionalFormatting>
  <conditionalFormatting sqref="B10:G10">
    <cfRule type="cellIs" dxfId="626" priority="40" stopIfTrue="1" operator="lessThanOrEqual">
      <formula>0.02</formula>
    </cfRule>
  </conditionalFormatting>
  <conditionalFormatting sqref="B11:G12">
    <cfRule type="cellIs" dxfId="625" priority="36" stopIfTrue="1" operator="equal">
      <formula>"F"</formula>
    </cfRule>
    <cfRule type="cellIs" dxfId="624" priority="37" stopIfTrue="1" operator="equal">
      <formula>"C"</formula>
    </cfRule>
    <cfRule type="cellIs" dxfId="623" priority="38" stopIfTrue="1" operator="equal">
      <formula>"B"</formula>
    </cfRule>
    <cfRule type="cellIs" dxfId="622" priority="39" stopIfTrue="1" operator="equal">
      <formula>"A"</formula>
    </cfRule>
  </conditionalFormatting>
  <conditionalFormatting sqref="B16:G16 F17">
    <cfRule type="cellIs" dxfId="621" priority="32" stopIfTrue="1" operator="equal">
      <formula>"F"</formula>
    </cfRule>
    <cfRule type="cellIs" dxfId="620" priority="33" stopIfTrue="1" operator="equal">
      <formula>"C"</formula>
    </cfRule>
    <cfRule type="cellIs" dxfId="619" priority="34" stopIfTrue="1" operator="equal">
      <formula>"B"</formula>
    </cfRule>
    <cfRule type="cellIs" dxfId="618" priority="35" stopIfTrue="1" operator="equal">
      <formula>"A"</formula>
    </cfRule>
  </conditionalFormatting>
  <conditionalFormatting sqref="B20:G20 B21:F21">
    <cfRule type="cellIs" dxfId="617" priority="28" stopIfTrue="1" operator="equal">
      <formula>"F"</formula>
    </cfRule>
    <cfRule type="cellIs" dxfId="616" priority="29" stopIfTrue="1" operator="equal">
      <formula>"C"</formula>
    </cfRule>
    <cfRule type="cellIs" dxfId="615" priority="30" stopIfTrue="1" operator="equal">
      <formula>"B"</formula>
    </cfRule>
    <cfRule type="cellIs" dxfId="614" priority="31" stopIfTrue="1" operator="equal">
      <formula>"A"</formula>
    </cfRule>
  </conditionalFormatting>
  <conditionalFormatting sqref="G17">
    <cfRule type="cellIs" dxfId="613" priority="24" stopIfTrue="1" operator="equal">
      <formula>"F"</formula>
    </cfRule>
    <cfRule type="cellIs" dxfId="612" priority="25" stopIfTrue="1" operator="equal">
      <formula>"C"</formula>
    </cfRule>
    <cfRule type="cellIs" dxfId="611" priority="26" stopIfTrue="1" operator="equal">
      <formula>"B"</formula>
    </cfRule>
    <cfRule type="cellIs" dxfId="610" priority="27" stopIfTrue="1" operator="equal">
      <formula>"A"</formula>
    </cfRule>
  </conditionalFormatting>
  <conditionalFormatting sqref="G21">
    <cfRule type="cellIs" dxfId="609" priority="20" stopIfTrue="1" operator="equal">
      <formula>"F"</formula>
    </cfRule>
    <cfRule type="cellIs" dxfId="608" priority="21" stopIfTrue="1" operator="equal">
      <formula>"C"</formula>
    </cfRule>
    <cfRule type="cellIs" dxfId="607" priority="22" stopIfTrue="1" operator="equal">
      <formula>"B"</formula>
    </cfRule>
    <cfRule type="cellIs" dxfId="606" priority="23" stopIfTrue="1" operator="equal">
      <formula>"A"</formula>
    </cfRule>
  </conditionalFormatting>
  <conditionalFormatting sqref="B24:G24">
    <cfRule type="cellIs" dxfId="605" priority="15" stopIfTrue="1" operator="greaterThan">
      <formula>10</formula>
    </cfRule>
  </conditionalFormatting>
  <conditionalFormatting sqref="B22:F22">
    <cfRule type="cellIs" dxfId="604" priority="11" stopIfTrue="1" operator="equal">
      <formula>"F"</formula>
    </cfRule>
    <cfRule type="cellIs" dxfId="603" priority="12" stopIfTrue="1" operator="equal">
      <formula>"C"</formula>
    </cfRule>
    <cfRule type="cellIs" dxfId="602" priority="13" stopIfTrue="1" operator="equal">
      <formula>"B"</formula>
    </cfRule>
    <cfRule type="cellIs" dxfId="601" priority="14" stopIfTrue="1" operator="equal">
      <formula>"A"</formula>
    </cfRule>
  </conditionalFormatting>
  <conditionalFormatting sqref="G22">
    <cfRule type="cellIs" dxfId="600" priority="7" stopIfTrue="1" operator="equal">
      <formula>"F"</formula>
    </cfRule>
    <cfRule type="cellIs" dxfId="599" priority="8" stopIfTrue="1" operator="equal">
      <formula>"C"</formula>
    </cfRule>
    <cfRule type="cellIs" dxfId="598" priority="9" stopIfTrue="1" operator="equal">
      <formula>"B"</formula>
    </cfRule>
    <cfRule type="cellIs" dxfId="597" priority="10" stopIfTrue="1" operator="equal">
      <formula>"A"</formula>
    </cfRule>
  </conditionalFormatting>
  <conditionalFormatting sqref="B23:F23">
    <cfRule type="cellIs" dxfId="596" priority="5" operator="lessThanOrEqual">
      <formula>$B$22</formula>
    </cfRule>
    <cfRule type="cellIs" dxfId="595" priority="6" operator="greaterThanOrEqual">
      <formula>$B$22</formula>
    </cfRule>
  </conditionalFormatting>
  <conditionalFormatting sqref="G23">
    <cfRule type="cellIs" dxfId="594" priority="1" operator="lessThanOrEqual">
      <formula>$B$22</formula>
    </cfRule>
    <cfRule type="cellIs" dxfId="593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selection activeCell="D1" sqref="D1"/>
    </sheetView>
  </sheetViews>
  <sheetFormatPr defaultRowHeight="15"/>
  <cols>
    <col min="1" max="1" width="43.140625" style="338" customWidth="1"/>
    <col min="2" max="4" width="19.85546875" customWidth="1"/>
    <col min="5" max="5" width="22" bestFit="1" customWidth="1"/>
    <col min="6" max="6" width="15.7109375" style="268" bestFit="1" customWidth="1"/>
    <col min="7" max="7" width="7.140625" style="268" bestFit="1" customWidth="1"/>
    <col min="8" max="8" width="14.7109375" style="268" bestFit="1" customWidth="1"/>
    <col min="9" max="9" width="13.5703125" style="268" bestFit="1" customWidth="1"/>
    <col min="10" max="10" width="13.85546875" style="85" bestFit="1" customWidth="1"/>
    <col min="11" max="11" width="9.140625" style="85"/>
  </cols>
  <sheetData>
    <row r="1" spans="1:11" ht="29.25" thickBot="1">
      <c r="A1" s="336" t="s">
        <v>67</v>
      </c>
      <c r="B1" s="31">
        <f>JAN!B1</f>
        <v>870</v>
      </c>
      <c r="C1" s="9"/>
      <c r="D1" s="112">
        <f>JAN!D1</f>
        <v>2020</v>
      </c>
      <c r="E1" s="113" t="s">
        <v>95</v>
      </c>
    </row>
    <row r="2" spans="1:11" ht="26.25">
      <c r="A2" s="336"/>
      <c r="B2" s="32"/>
      <c r="C2" s="9"/>
      <c r="D2" s="9"/>
      <c r="E2" s="107"/>
      <c r="H2" s="269"/>
    </row>
    <row r="3" spans="1:11" ht="27" thickBot="1">
      <c r="A3" s="336"/>
      <c r="B3" s="32"/>
      <c r="C3" s="9"/>
      <c r="D3" s="9"/>
      <c r="E3" s="171"/>
      <c r="H3" s="269"/>
    </row>
    <row r="4" spans="1:11" s="30" customFormat="1" ht="27" thickBot="1">
      <c r="A4" s="336"/>
      <c r="B4" s="88" t="s">
        <v>83</v>
      </c>
      <c r="C4" s="89" t="s">
        <v>82</v>
      </c>
      <c r="D4" s="89" t="s">
        <v>84</v>
      </c>
      <c r="E4" s="91" t="s">
        <v>15</v>
      </c>
      <c r="F4" s="268"/>
      <c r="G4" s="268"/>
      <c r="H4" s="268"/>
      <c r="I4" s="268"/>
      <c r="J4" s="86"/>
      <c r="K4" s="86"/>
    </row>
    <row r="5" spans="1:11" s="119" customFormat="1" ht="39.950000000000003" customHeight="1" thickBot="1">
      <c r="A5" s="297" t="str">
        <f>JAN!A5</f>
        <v>Last Year Sales</v>
      </c>
      <c r="B5" s="172">
        <f>JAN!G5</f>
        <v>53768.87</v>
      </c>
      <c r="C5" s="173">
        <f>FEB!G5</f>
        <v>70929.5</v>
      </c>
      <c r="D5" s="173">
        <f>MAR!G5</f>
        <v>57641.11</v>
      </c>
      <c r="E5" s="174">
        <f>SUM(B5:D5)</f>
        <v>182339.47999999998</v>
      </c>
      <c r="F5" s="118"/>
      <c r="G5" s="118"/>
      <c r="H5" s="118"/>
      <c r="I5" s="118"/>
      <c r="J5" s="118"/>
      <c r="K5" s="118"/>
    </row>
    <row r="6" spans="1:11" s="39" customFormat="1" ht="39.950000000000003" customHeight="1" thickBot="1">
      <c r="A6" s="337" t="str">
        <f>JAN!A6</f>
        <v>week Ending Date</v>
      </c>
      <c r="B6" s="175"/>
      <c r="C6" s="175"/>
      <c r="D6" s="172"/>
      <c r="E6" s="293">
        <f>F8</f>
        <v>83.2179</v>
      </c>
      <c r="F6" s="283"/>
      <c r="G6" s="268"/>
      <c r="H6" s="268"/>
      <c r="I6" s="268"/>
      <c r="J6" s="85"/>
      <c r="K6" s="85"/>
    </row>
    <row r="7" spans="1:11" s="119" customFormat="1" ht="39.950000000000003" customHeight="1" thickBot="1">
      <c r="A7" s="297" t="str">
        <f>JAN!A7</f>
        <v>Net Sales for Week</v>
      </c>
      <c r="B7" s="172">
        <f>JAN!G7</f>
        <v>52081.8</v>
      </c>
      <c r="C7" s="173">
        <f>FEB!G7</f>
        <v>67256.099999999991</v>
      </c>
      <c r="D7" s="173">
        <f>MAR!G7</f>
        <v>38600.35</v>
      </c>
      <c r="E7" s="174">
        <f>SUM(B7:D7)</f>
        <v>157938.25</v>
      </c>
      <c r="F7" s="118"/>
      <c r="G7" s="118"/>
      <c r="H7" s="118"/>
      <c r="I7" s="118"/>
      <c r="J7" s="118"/>
      <c r="K7" s="118"/>
    </row>
    <row r="8" spans="1:11" s="119" customFormat="1" ht="39.950000000000003" customHeight="1" thickBot="1">
      <c r="A8" s="297" t="str">
        <f>JAN!A8</f>
        <v>Catering Sales $$</v>
      </c>
      <c r="B8" s="172">
        <f>JAN!G8</f>
        <v>1629.93</v>
      </c>
      <c r="C8" s="173">
        <f>FEB!G8</f>
        <v>744</v>
      </c>
      <c r="D8" s="173">
        <f>MAR!G8</f>
        <v>400</v>
      </c>
      <c r="E8" s="174">
        <f>SUM(B8:D8)</f>
        <v>2773.9300000000003</v>
      </c>
      <c r="F8" s="122">
        <f>SUM(E8*0.03)</f>
        <v>83.2179</v>
      </c>
      <c r="G8" s="118"/>
      <c r="H8" s="118"/>
      <c r="I8" s="118"/>
      <c r="J8" s="118"/>
      <c r="K8" s="118"/>
    </row>
    <row r="9" spans="1:11" s="127" customFormat="1" ht="39.950000000000003" customHeight="1" thickBot="1">
      <c r="A9" s="297" t="str">
        <f>JAN!A9</f>
        <v>Sales After Catering</v>
      </c>
      <c r="B9" s="176">
        <f>JAN!G9</f>
        <v>50451.87</v>
      </c>
      <c r="C9" s="177">
        <f>FEB!G9</f>
        <v>66512.099999999991</v>
      </c>
      <c r="D9" s="177">
        <f>MAR!G9</f>
        <v>38200.35</v>
      </c>
      <c r="E9" s="178">
        <f>SUM(E7-E8)</f>
        <v>155164.32</v>
      </c>
      <c r="F9" s="126"/>
      <c r="G9" s="267"/>
      <c r="H9" s="270"/>
      <c r="I9" s="271"/>
      <c r="J9" s="126"/>
      <c r="K9" s="126"/>
    </row>
    <row r="10" spans="1:11" s="119" customFormat="1" ht="39.950000000000003" customHeight="1" thickBot="1">
      <c r="A10" s="297" t="str">
        <f>JAN!A10</f>
        <v>Sales Up/Down</v>
      </c>
      <c r="B10" s="259">
        <f>JAN!G10</f>
        <v>-3.1376333555084936E-2</v>
      </c>
      <c r="C10" s="260">
        <f>FEB!G10</f>
        <v>-5.1789452907464575E-2</v>
      </c>
      <c r="D10" s="260">
        <f>MAR!G10</f>
        <v>-0.33033298630092311</v>
      </c>
      <c r="E10" s="179">
        <f>(E7-E5)/E5</f>
        <v>-0.13382307550728995</v>
      </c>
      <c r="F10" s="267"/>
      <c r="G10" s="267"/>
      <c r="H10" s="126"/>
      <c r="I10" s="271"/>
      <c r="J10" s="118"/>
      <c r="K10" s="118"/>
    </row>
    <row r="11" spans="1:11" s="119" customFormat="1" ht="39.950000000000003" customHeight="1" thickBot="1">
      <c r="A11" s="297" t="str">
        <f>JAN!A11</f>
        <v>GRAD</v>
      </c>
      <c r="B11" s="176" t="str">
        <f>JAN!G11</f>
        <v>F</v>
      </c>
      <c r="C11" s="177" t="str">
        <f>FEB!G11</f>
        <v>F</v>
      </c>
      <c r="D11" s="177" t="str">
        <f>MAR!G11</f>
        <v>F</v>
      </c>
      <c r="E11" s="180" t="str">
        <f>IF(E10&gt;=10%,"A",IF(E10&gt;=7%,"B",IF(E10&gt;2%,"C",IF(E10&lt;2%,"F",))))</f>
        <v>F</v>
      </c>
      <c r="F11" s="267"/>
      <c r="G11" s="267"/>
      <c r="H11" s="126"/>
      <c r="I11" s="271"/>
      <c r="J11" s="118"/>
      <c r="K11" s="118"/>
    </row>
    <row r="12" spans="1:11" s="119" customFormat="1" ht="39.950000000000003" customHeight="1" thickBot="1">
      <c r="A12" s="297">
        <f>JAN!A12</f>
        <v>0</v>
      </c>
      <c r="B12" s="177">
        <f>JAN!G12</f>
        <v>0</v>
      </c>
      <c r="C12" s="177">
        <f>FEB!G12</f>
        <v>0</v>
      </c>
      <c r="D12" s="176">
        <f>MAR!G12</f>
        <v>0</v>
      </c>
      <c r="E12" s="285">
        <f>SUM(B12:D12)</f>
        <v>0</v>
      </c>
      <c r="F12" s="267"/>
      <c r="G12" s="272"/>
      <c r="H12" s="270"/>
      <c r="I12" s="273"/>
      <c r="J12" s="134"/>
      <c r="K12" s="118"/>
    </row>
    <row r="13" spans="1:11" s="119" customFormat="1" ht="39.950000000000003" customHeight="1" thickBot="1">
      <c r="A13" s="297" t="str">
        <f>JAN!A13</f>
        <v>Reinhart Payout</v>
      </c>
      <c r="B13" s="176">
        <f>JAN!G13</f>
        <v>15158.83</v>
      </c>
      <c r="C13" s="177">
        <f>FEB!G13</f>
        <v>17929.849999999999</v>
      </c>
      <c r="D13" s="177">
        <f>MAR!G13</f>
        <v>10502.58</v>
      </c>
      <c r="E13" s="174">
        <f>SUM(B13:D13)</f>
        <v>43591.26</v>
      </c>
      <c r="F13" s="274"/>
      <c r="G13" s="134"/>
      <c r="H13" s="138"/>
      <c r="I13" s="134"/>
      <c r="J13" s="138"/>
      <c r="K13" s="118"/>
    </row>
    <row r="14" spans="1:11" s="119" customFormat="1" ht="39.950000000000003" customHeight="1" thickBot="1">
      <c r="A14" s="297" t="str">
        <f>JAN!A14</f>
        <v xml:space="preserve">Transfer ( IN / OUT) </v>
      </c>
      <c r="B14" s="256">
        <f>JAN!G14</f>
        <v>0</v>
      </c>
      <c r="C14" s="256">
        <f>FEB!H14</f>
        <v>0</v>
      </c>
      <c r="D14" s="256">
        <f>MAR!I14</f>
        <v>0</v>
      </c>
      <c r="E14" s="174">
        <f>SUM(B14:D14)</f>
        <v>0</v>
      </c>
      <c r="F14" s="274"/>
      <c r="G14" s="134"/>
      <c r="H14" s="138"/>
      <c r="I14" s="134"/>
      <c r="J14" s="138"/>
      <c r="K14" s="118"/>
    </row>
    <row r="15" spans="1:11" s="119" customFormat="1" ht="39.950000000000003" customHeight="1" thickBot="1">
      <c r="A15" s="297" t="str">
        <f>JAN!A15</f>
        <v>Food Cost %</v>
      </c>
      <c r="B15" s="259">
        <f>JAN!G15</f>
        <v>0.29105810475060384</v>
      </c>
      <c r="C15" s="260">
        <f>FEB!G15</f>
        <v>0.26659068842826156</v>
      </c>
      <c r="D15" s="260">
        <f>MAR!G15</f>
        <v>0.27208509767398481</v>
      </c>
      <c r="E15" s="179">
        <f>SUM(E13/E7)</f>
        <v>0.27600191847130129</v>
      </c>
      <c r="F15" s="275"/>
      <c r="G15" s="272"/>
      <c r="H15" s="276"/>
      <c r="I15" s="272"/>
      <c r="J15" s="141"/>
      <c r="K15" s="118"/>
    </row>
    <row r="16" spans="1:11" s="119" customFormat="1" ht="39.950000000000003" customHeight="1" thickBot="1">
      <c r="A16" s="297" t="str">
        <f>JAN!A16</f>
        <v>GRAD</v>
      </c>
      <c r="B16" s="176" t="str">
        <f>JAN!G16</f>
        <v>B</v>
      </c>
      <c r="C16" s="177" t="str">
        <f>FEB!G16</f>
        <v>A</v>
      </c>
      <c r="D16" s="177" t="str">
        <f>MAR!G16</f>
        <v>B</v>
      </c>
      <c r="E16" s="180" t="str">
        <f>IF(E15&lt;=27%,"A",IF(E15&lt;=30%,"B",IF(E15&lt;32%,"C",IF(E15&gt;=32%,"F",))))</f>
        <v>B</v>
      </c>
      <c r="F16" s="275"/>
      <c r="G16" s="272"/>
      <c r="H16" s="276"/>
      <c r="I16" s="272"/>
      <c r="J16" s="141"/>
      <c r="K16" s="118"/>
    </row>
    <row r="17" spans="1:11" s="119" customFormat="1" ht="39.950000000000003" customHeight="1" thickBot="1">
      <c r="A17" s="297">
        <f>JAN!A17</f>
        <v>0</v>
      </c>
      <c r="B17" s="177">
        <f>JAN!G17</f>
        <v>30</v>
      </c>
      <c r="C17" s="177">
        <f>FEB!G17</f>
        <v>50</v>
      </c>
      <c r="D17" s="176">
        <f>MAR!G17</f>
        <v>30</v>
      </c>
      <c r="E17" s="285">
        <f>SUM(B17:D17)</f>
        <v>110</v>
      </c>
      <c r="F17" s="267"/>
      <c r="G17" s="277"/>
      <c r="H17" s="267"/>
      <c r="I17" s="278"/>
      <c r="J17" s="118"/>
      <c r="K17" s="118"/>
    </row>
    <row r="18" spans="1:11" s="119" customFormat="1" ht="39.950000000000003" customHeight="1" thickBot="1">
      <c r="A18" s="297" t="str">
        <f>JAN!A18</f>
        <v>Labor $$</v>
      </c>
      <c r="B18" s="176">
        <f>JAN!G18</f>
        <v>13043.599999999999</v>
      </c>
      <c r="C18" s="177">
        <f>FEB!G18</f>
        <v>15741.5</v>
      </c>
      <c r="D18" s="177">
        <f>MAR!G18</f>
        <v>9964.2000000000007</v>
      </c>
      <c r="E18" s="174">
        <f>SUM(B18:D18)</f>
        <v>38749.300000000003</v>
      </c>
      <c r="F18" s="134"/>
      <c r="G18" s="279"/>
      <c r="H18" s="118"/>
      <c r="I18" s="280"/>
      <c r="J18" s="118"/>
      <c r="K18" s="118"/>
    </row>
    <row r="19" spans="1:11" s="119" customFormat="1" ht="39.950000000000003" customHeight="1" thickBot="1">
      <c r="A19" s="297" t="str">
        <f>JAN!A19</f>
        <v>labor %</v>
      </c>
      <c r="B19" s="259">
        <f>JAN!C19</f>
        <v>0.2363966386554622</v>
      </c>
      <c r="C19" s="260">
        <f>FEB!G19</f>
        <v>0.23405311934530848</v>
      </c>
      <c r="D19" s="260">
        <f>MAR!G19</f>
        <v>0.25813755574755154</v>
      </c>
      <c r="E19" s="179">
        <f>SUM(E18/E7)</f>
        <v>0.2453446204450157</v>
      </c>
      <c r="F19" s="267"/>
      <c r="G19" s="281"/>
      <c r="H19" s="267"/>
      <c r="I19" s="278"/>
      <c r="J19" s="118"/>
      <c r="K19" s="118"/>
    </row>
    <row r="20" spans="1:11" s="119" customFormat="1" ht="39.950000000000003" customHeight="1" thickBot="1">
      <c r="A20" s="297" t="str">
        <f>JAN!A20</f>
        <v>GRAD</v>
      </c>
      <c r="B20" s="176" t="str">
        <f>JAN!G20</f>
        <v>F</v>
      </c>
      <c r="C20" s="177" t="str">
        <f>FEB!G20</f>
        <v>C</v>
      </c>
      <c r="D20" s="177" t="str">
        <f>MAR!G20</f>
        <v>F</v>
      </c>
      <c r="E20" s="181" t="str">
        <f>IF(E19&lt;=20%,"A",IF(E19&lt;=23%,"B",IF(E19&lt;25%,"C",IF(E19&gt;=25%,"F",IF))))</f>
        <v>C</v>
      </c>
      <c r="F20" s="267"/>
      <c r="G20" s="277"/>
      <c r="H20" s="272"/>
      <c r="I20" s="278"/>
      <c r="J20" s="118"/>
      <c r="K20" s="118"/>
    </row>
    <row r="21" spans="1:11" s="119" customFormat="1" ht="39.950000000000003" customHeight="1" thickBot="1">
      <c r="A21" s="297">
        <f>JAN!A21</f>
        <v>0</v>
      </c>
      <c r="B21" s="177">
        <f>JAN!G21</f>
        <v>0</v>
      </c>
      <c r="C21" s="177">
        <f>FEB!G21</f>
        <v>20</v>
      </c>
      <c r="D21" s="176">
        <f>MAR!G21</f>
        <v>0</v>
      </c>
      <c r="E21" s="285">
        <f>SUM(B21:D21)</f>
        <v>20</v>
      </c>
      <c r="F21" s="267"/>
      <c r="G21" s="277"/>
      <c r="H21" s="272"/>
      <c r="I21" s="278"/>
      <c r="J21" s="118"/>
      <c r="K21" s="118"/>
    </row>
    <row r="22" spans="1:11" s="119" customFormat="1" ht="39.950000000000003" customHeight="1" thickBot="1">
      <c r="A22" s="301" t="s">
        <v>110</v>
      </c>
      <c r="B22" s="340">
        <f>JAN!G22</f>
        <v>0.76500000000000012</v>
      </c>
      <c r="C22" s="339">
        <f>FEB!G22</f>
        <v>0.79</v>
      </c>
      <c r="D22" s="340">
        <f>MAR!G22</f>
        <v>0.70499999999999996</v>
      </c>
      <c r="E22" s="348">
        <f>AVERAGE(B22:D22)</f>
        <v>0.75333333333333341</v>
      </c>
      <c r="F22" s="267"/>
      <c r="G22" s="277"/>
      <c r="H22" s="272"/>
      <c r="I22" s="278"/>
      <c r="J22" s="118"/>
      <c r="K22" s="118"/>
    </row>
    <row r="23" spans="1:11" s="119" customFormat="1" ht="39.950000000000003" customHeight="1" thickBot="1">
      <c r="A23" s="297" t="str">
        <f>JAN!A23</f>
        <v>R / F Shop Score %</v>
      </c>
      <c r="B23" s="340">
        <f>JAN!G23</f>
        <v>0.83</v>
      </c>
      <c r="C23" s="339">
        <f>FEB!G23</f>
        <v>0.65999999999999992</v>
      </c>
      <c r="D23" s="339">
        <f>MAR!G23</f>
        <v>0.63</v>
      </c>
      <c r="E23" s="341">
        <f>AVERAGE(B23:D23)</f>
        <v>0.70666666666666655</v>
      </c>
      <c r="F23" s="134"/>
      <c r="G23" s="134"/>
      <c r="H23" s="118"/>
      <c r="I23" s="118"/>
      <c r="J23" s="118"/>
      <c r="K23" s="118"/>
    </row>
    <row r="24" spans="1:11" s="127" customFormat="1" ht="39.950000000000003" customHeight="1" thickBot="1">
      <c r="A24" s="297" t="str">
        <f>JAN!A24</f>
        <v>Deduction $$</v>
      </c>
      <c r="B24" s="176" t="str">
        <f>JAN!G24</f>
        <v>0</v>
      </c>
      <c r="C24" s="177" t="str">
        <f>FEB!G24</f>
        <v>$-25</v>
      </c>
      <c r="D24" s="177" t="str">
        <f>MAR!G24</f>
        <v>$-25</v>
      </c>
      <c r="E24" s="258">
        <f>SUM(B24+C24+D24)</f>
        <v>-50</v>
      </c>
      <c r="F24" s="141"/>
      <c r="G24" s="263"/>
      <c r="H24" s="141"/>
      <c r="I24" s="267"/>
      <c r="J24" s="126"/>
      <c r="K24" s="126"/>
    </row>
    <row r="25" spans="1:11" s="119" customFormat="1" ht="39.950000000000003" customHeight="1" thickBot="1">
      <c r="A25" s="297" t="str">
        <f>JAN!A25</f>
        <v>Cash Over Short $$</v>
      </c>
      <c r="B25" s="176">
        <f>JAN!G25</f>
        <v>0</v>
      </c>
      <c r="C25" s="177">
        <f>FEB!G25</f>
        <v>-4.3900000000000006</v>
      </c>
      <c r="D25" s="177">
        <f>MAR!G25</f>
        <v>-0.62</v>
      </c>
      <c r="E25" s="174">
        <f>SUM(B25:D25)</f>
        <v>-5.0100000000000007</v>
      </c>
      <c r="F25" s="141"/>
      <c r="G25" s="264"/>
      <c r="H25" s="141"/>
      <c r="I25" s="118"/>
      <c r="J25" s="154"/>
      <c r="K25" s="118"/>
    </row>
    <row r="26" spans="1:11" s="127" customFormat="1" ht="39.950000000000003" customHeight="1" thickBot="1">
      <c r="A26" s="297" t="str">
        <f>JAN!A26</f>
        <v>Deduction $$</v>
      </c>
      <c r="B26" s="176">
        <f>JAN!G26</f>
        <v>0</v>
      </c>
      <c r="C26" s="177">
        <f>FEB!G26</f>
        <v>-4.3900000000000006</v>
      </c>
      <c r="D26" s="177">
        <f>MAR!G26</f>
        <v>-0.62</v>
      </c>
      <c r="E26" s="257">
        <f>E25</f>
        <v>-5.0100000000000007</v>
      </c>
      <c r="F26" s="266"/>
      <c r="G26" s="263"/>
      <c r="H26" s="265"/>
      <c r="I26" s="276"/>
      <c r="J26" s="156"/>
      <c r="K26" s="126"/>
    </row>
    <row r="27" spans="1:11" s="119" customFormat="1" ht="39.950000000000003" customHeight="1" thickBot="1">
      <c r="A27" s="168"/>
      <c r="B27" s="182"/>
      <c r="C27" s="182"/>
      <c r="D27" s="182"/>
      <c r="E27" s="286">
        <f>SUM(JAN!G27+FEB!G27+MAR!G27)</f>
        <v>173.94039999999998</v>
      </c>
      <c r="F27" s="267"/>
      <c r="G27" s="138"/>
      <c r="H27" s="282"/>
      <c r="I27" s="282"/>
      <c r="J27" s="159"/>
      <c r="K27" s="118"/>
    </row>
    <row r="28" spans="1:11" s="127" customFormat="1" ht="39.950000000000003" customHeight="1" thickBot="1">
      <c r="A28" s="169"/>
      <c r="B28" s="183"/>
      <c r="C28" s="183"/>
      <c r="D28" s="183"/>
      <c r="E28" s="184"/>
      <c r="F28" s="267"/>
      <c r="G28" s="276"/>
      <c r="H28" s="276"/>
      <c r="I28" s="282"/>
      <c r="J28" s="156"/>
      <c r="K28" s="126"/>
    </row>
    <row r="29" spans="1:11" s="119" customFormat="1" ht="39.950000000000003" customHeight="1" thickBot="1">
      <c r="A29" s="299" t="s">
        <v>71</v>
      </c>
      <c r="B29" s="172"/>
      <c r="C29" s="287">
        <f>SUM(JAN!C29+FEB!C29+MAR!C29)</f>
        <v>51.917249999999996</v>
      </c>
      <c r="D29" s="185"/>
      <c r="E29" s="186" t="e">
        <f>IF(#REF!="FAIL","$0.00",IF(#REF!="PASS",E27,))</f>
        <v>#REF!</v>
      </c>
      <c r="F29" s="267"/>
      <c r="G29" s="267"/>
      <c r="H29" s="267"/>
      <c r="I29" s="267"/>
      <c r="J29" s="118"/>
      <c r="K29" s="118"/>
    </row>
    <row r="30" spans="1:11" s="119" customFormat="1" ht="39.950000000000003" customHeight="1" thickBot="1">
      <c r="A30" s="299" t="s">
        <v>72</v>
      </c>
      <c r="B30" s="187"/>
      <c r="C30" s="287">
        <f>SUM(JAN!C30+FEB!C30+MAR!C30)</f>
        <v>25.958624999999998</v>
      </c>
      <c r="D30" s="188"/>
      <c r="E30" s="189"/>
      <c r="F30" s="267"/>
      <c r="G30" s="267"/>
      <c r="H30" s="267"/>
      <c r="I30" s="267"/>
      <c r="J30" s="118"/>
      <c r="K30" s="118"/>
    </row>
    <row r="31" spans="1:11">
      <c r="B31" s="34"/>
      <c r="C31" s="34"/>
    </row>
    <row r="32" spans="1:11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34"/>
      <c r="C35" s="34"/>
    </row>
    <row r="36" spans="2:3">
      <c r="B36" s="95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  <row r="42" spans="2:3">
      <c r="B42" s="34"/>
      <c r="C42" s="34"/>
    </row>
  </sheetData>
  <sheetProtection algorithmName="SHA-512" hashValue="4i4tjl47qCX4BzDVs5EXoiWybA5fzKV5+tY9mJL8e0tp4OQ+VQ5TnXjH1ZlfZpcX8/jY80LINZy3HjwaeCcmnA==" saltValue="xpKnSWWAZq847R+IH/H1LQ==" spinCount="100000" sheet="1" objects="1" scenarios="1"/>
  <conditionalFormatting sqref="E19">
    <cfRule type="cellIs" dxfId="592" priority="36" stopIfTrue="1" operator="greaterThanOrEqual">
      <formula>0.27</formula>
    </cfRule>
    <cfRule type="cellIs" dxfId="591" priority="37" stopIfTrue="1" operator="between">
      <formula>0.23</formula>
      <formula>0.25</formula>
    </cfRule>
    <cfRule type="cellIs" dxfId="590" priority="38" stopIfTrue="1" operator="lessThan">
      <formula>0.2</formula>
    </cfRule>
    <cfRule type="cellIs" dxfId="589" priority="46" stopIfTrue="1" operator="between">
      <formula>0.2</formula>
      <formula>0.2299</formula>
    </cfRule>
  </conditionalFormatting>
  <conditionalFormatting sqref="E15">
    <cfRule type="cellIs" dxfId="588" priority="45" stopIfTrue="1" operator="between">
      <formula>0.3</formula>
      <formula>0.32</formula>
    </cfRule>
  </conditionalFormatting>
  <conditionalFormatting sqref="E10">
    <cfRule type="cellIs" dxfId="587" priority="42" stopIfTrue="1" operator="greaterThan">
      <formula>0.1</formula>
    </cfRule>
    <cfRule type="cellIs" dxfId="586" priority="43" stopIfTrue="1" operator="greaterThan">
      <formula>0.07</formula>
    </cfRule>
    <cfRule type="cellIs" dxfId="585" priority="44" stopIfTrue="1" operator="greaterThan">
      <formula>0.02</formula>
    </cfRule>
  </conditionalFormatting>
  <conditionalFormatting sqref="E15">
    <cfRule type="cellIs" dxfId="584" priority="39" stopIfTrue="1" operator="greaterThanOrEqual">
      <formula>0.32</formula>
    </cfRule>
    <cfRule type="cellIs" dxfId="583" priority="40" stopIfTrue="1" operator="between">
      <formula>0.27</formula>
      <formula>0.3</formula>
    </cfRule>
    <cfRule type="cellIs" dxfId="582" priority="41" stopIfTrue="1" operator="lessThanOrEqual">
      <formula>0.27</formula>
    </cfRule>
  </conditionalFormatting>
  <conditionalFormatting sqref="E24">
    <cfRule type="cellIs" dxfId="581" priority="35" stopIfTrue="1" operator="greaterThan">
      <formula>10</formula>
    </cfRule>
  </conditionalFormatting>
  <conditionalFormatting sqref="B27:D27 E26 B28:E28">
    <cfRule type="cellIs" dxfId="580" priority="34" stopIfTrue="1" operator="lessThan">
      <formula>0</formula>
    </cfRule>
  </conditionalFormatting>
  <conditionalFormatting sqref="E10">
    <cfRule type="cellIs" dxfId="579" priority="33" stopIfTrue="1" operator="lessThanOrEqual">
      <formula>0.02</formula>
    </cfRule>
  </conditionalFormatting>
  <conditionalFormatting sqref="E11:E12 E16 E20">
    <cfRule type="cellIs" dxfId="578" priority="29" stopIfTrue="1" operator="equal">
      <formula>"F"</formula>
    </cfRule>
    <cfRule type="cellIs" dxfId="577" priority="30" stopIfTrue="1" operator="equal">
      <formula>"C"</formula>
    </cfRule>
    <cfRule type="cellIs" dxfId="576" priority="31" stopIfTrue="1" operator="equal">
      <formula>"B"</formula>
    </cfRule>
    <cfRule type="cellIs" dxfId="575" priority="32" stopIfTrue="1" operator="equal">
      <formula>"A"</formula>
    </cfRule>
  </conditionalFormatting>
  <conditionalFormatting sqref="F24">
    <cfRule type="cellIs" dxfId="574" priority="20" stopIfTrue="1" operator="lessThan">
      <formula>0</formula>
    </cfRule>
  </conditionalFormatting>
  <conditionalFormatting sqref="G24:G26">
    <cfRule type="cellIs" dxfId="573" priority="11" stopIfTrue="1" operator="lessThan">
      <formula>0</formula>
    </cfRule>
  </conditionalFormatting>
  <conditionalFormatting sqref="E17">
    <cfRule type="cellIs" dxfId="572" priority="5" stopIfTrue="1" operator="equal">
      <formula>"F"</formula>
    </cfRule>
    <cfRule type="cellIs" dxfId="571" priority="6" stopIfTrue="1" operator="equal">
      <formula>"C"</formula>
    </cfRule>
    <cfRule type="cellIs" dxfId="570" priority="7" stopIfTrue="1" operator="equal">
      <formula>"B"</formula>
    </cfRule>
    <cfRule type="cellIs" dxfId="569" priority="8" stopIfTrue="1" operator="equal">
      <formula>"A"</formula>
    </cfRule>
  </conditionalFormatting>
  <conditionalFormatting sqref="E21:E22">
    <cfRule type="cellIs" dxfId="568" priority="1" stopIfTrue="1" operator="equal">
      <formula>"F"</formula>
    </cfRule>
    <cfRule type="cellIs" dxfId="567" priority="2" stopIfTrue="1" operator="equal">
      <formula>"C"</formula>
    </cfRule>
    <cfRule type="cellIs" dxfId="566" priority="3" stopIfTrue="1" operator="equal">
      <formula>"B"</formula>
    </cfRule>
    <cfRule type="cellIs" dxfId="565" priority="4" stopIfTrue="1" operator="equal">
      <formula>"A"</formula>
    </cfRule>
  </conditionalFormatting>
  <pageMargins left="0.7" right="0.7" top="0.75" bottom="0.75" header="0.3" footer="0.3"/>
  <pageSetup scale="63" orientation="portrait" horizontalDpi="0" verticalDpi="0" r:id="rId1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27" zoomScaleNormal="100" workbookViewId="0">
      <selection activeCell="E30" sqref="E30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93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>
        <v>16078.67</v>
      </c>
      <c r="C5" s="115">
        <v>15868.4</v>
      </c>
      <c r="D5" s="115">
        <v>12969.55</v>
      </c>
      <c r="E5" s="114">
        <v>14459.42</v>
      </c>
      <c r="F5" s="114"/>
      <c r="G5" s="116">
        <f>SUM(B5:F5)</f>
        <v>59376.039999999994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>
        <v>43922</v>
      </c>
      <c r="C6" s="347">
        <f>B6+7</f>
        <v>43929</v>
      </c>
      <c r="D6" s="347">
        <f>C6+7</f>
        <v>43936</v>
      </c>
      <c r="E6" s="347">
        <f>D6+7</f>
        <v>43943</v>
      </c>
      <c r="F6" s="347">
        <f>E6+7</f>
        <v>43950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>
        <v>8061.17</v>
      </c>
      <c r="C7" s="115">
        <v>7205.98</v>
      </c>
      <c r="D7" s="115">
        <v>10365.700000000001</v>
      </c>
      <c r="E7" s="114">
        <v>9797.4599999999991</v>
      </c>
      <c r="F7" s="114"/>
      <c r="G7" s="116">
        <f>SUM(B7:F7)</f>
        <v>35430.31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>
        <v>0</v>
      </c>
      <c r="C8" s="121">
        <v>0</v>
      </c>
      <c r="D8" s="115">
        <v>140</v>
      </c>
      <c r="E8" s="115">
        <v>320</v>
      </c>
      <c r="F8" s="120"/>
      <c r="G8" s="116">
        <f>SUM(B8:F8)</f>
        <v>460</v>
      </c>
      <c r="H8" s="122">
        <f>SUM(G8*0.03)</f>
        <v>13.799999999999999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8061.17</v>
      </c>
      <c r="C9" s="296">
        <f>SUM(C7-C8)</f>
        <v>7205.98</v>
      </c>
      <c r="D9" s="296">
        <f t="shared" ref="D9:F9" si="0">SUM(D7-D8)</f>
        <v>10225.700000000001</v>
      </c>
      <c r="E9" s="296">
        <f t="shared" si="0"/>
        <v>9477.4599999999991</v>
      </c>
      <c r="F9" s="296">
        <f t="shared" si="0"/>
        <v>0</v>
      </c>
      <c r="G9" s="307">
        <f>SUM(G7-G8)</f>
        <v>34970.31</v>
      </c>
      <c r="H9" s="123" t="str">
        <f>IF(G9&gt;=71000,"A",IF(G9&gt;55000,"B",IF(G9&lt;=55000,"C")))</f>
        <v>C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>
        <f>(B7-B5)/B5</f>
        <v>-0.49864198966705581</v>
      </c>
      <c r="C10" s="128">
        <f t="shared" ref="C10:F10" si="1">(C7-C5)/C5</f>
        <v>-0.54589120516246126</v>
      </c>
      <c r="D10" s="128">
        <f t="shared" si="1"/>
        <v>-0.20076641055395128</v>
      </c>
      <c r="E10" s="128">
        <f t="shared" si="1"/>
        <v>-0.32241680510006632</v>
      </c>
      <c r="F10" s="128" t="e">
        <f t="shared" si="1"/>
        <v>#DIV/0!</v>
      </c>
      <c r="G10" s="129">
        <f>(G7-G5)/G5</f>
        <v>-0.40328944133020656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str">
        <f>IF(B10&gt;=10%,"A",IF(B10&gt;=7%,"B",IF(B10&gt;2%,"C",IF(B10&lt;2%,"F",))))</f>
        <v>F</v>
      </c>
      <c r="C11" s="308" t="str">
        <f t="shared" ref="C11:F11" si="2">IF(C10&gt;=10%,"A",IF(C10&gt;=7%,"B",IF(C10&gt;2%,"C",IF(C10&lt;2%,"F",))))</f>
        <v>F</v>
      </c>
      <c r="D11" s="308" t="str">
        <f t="shared" si="2"/>
        <v>F</v>
      </c>
      <c r="E11" s="308" t="str">
        <f t="shared" si="2"/>
        <v>F</v>
      </c>
      <c r="F11" s="308" t="e">
        <f t="shared" si="2"/>
        <v>#DIV/0!</v>
      </c>
      <c r="G11" s="130" t="str">
        <f>IF(G10&gt;=10%,"A",IF(G10&gt;=7%,"B",IF(G10&gt;2%,"C",IF(G10&lt;2%,"F",))))</f>
        <v>F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>
        <f>LOOKUP(G11,J9:K12)</f>
        <v>0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>
        <v>1814.17</v>
      </c>
      <c r="C13" s="115">
        <v>2318.9699999999998</v>
      </c>
      <c r="D13" s="115">
        <v>2826.94</v>
      </c>
      <c r="E13" s="115">
        <v>3219</v>
      </c>
      <c r="F13" s="120"/>
      <c r="G13" s="116">
        <f>SUM(B13:F13)+G14</f>
        <v>10179.08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>
        <v>0</v>
      </c>
      <c r="C14" s="115">
        <v>0</v>
      </c>
      <c r="D14" s="115">
        <v>0</v>
      </c>
      <c r="E14" s="115">
        <v>0</v>
      </c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>
        <f>SUM(B13/B7)</f>
        <v>0.22505045793600681</v>
      </c>
      <c r="C15" s="129">
        <f t="shared" ref="C15:F15" si="3">SUM(C13/C7)</f>
        <v>0.32181188401855126</v>
      </c>
      <c r="D15" s="129">
        <f t="shared" si="3"/>
        <v>0.27272060738782716</v>
      </c>
      <c r="E15" s="129">
        <f t="shared" si="3"/>
        <v>0.3285545437286807</v>
      </c>
      <c r="F15" s="129" t="e">
        <f t="shared" si="3"/>
        <v>#DIV/0!</v>
      </c>
      <c r="G15" s="129">
        <f>SUM(G13/G7)</f>
        <v>0.28729864344963396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str">
        <f>IF(B15&lt;=27%,"A",IF(B15&lt;=30%,"B",IF(B15&lt;32%,"C",IF(B15&gt;=32%,"F",))))</f>
        <v>A</v>
      </c>
      <c r="C16" s="308" t="str">
        <f t="shared" ref="C16:F16" si="4">IF(C15&lt;=27%,"A",IF(C15&lt;=30%,"B",IF(C15&lt;32%,"C",IF(C15&gt;=32%,"F",))))</f>
        <v>F</v>
      </c>
      <c r="D16" s="308" t="str">
        <f t="shared" si="4"/>
        <v>B</v>
      </c>
      <c r="E16" s="308" t="str">
        <f t="shared" si="4"/>
        <v>F</v>
      </c>
      <c r="F16" s="308" t="e">
        <f t="shared" si="4"/>
        <v>#DIV/0!</v>
      </c>
      <c r="G16" s="130" t="str">
        <f>IF(G15&lt;=27%,"A",IF(G15&lt;=30%,"B",IF(G15&lt;=32%,"C",IF(G15&gt;32%,"F",))))</f>
        <v>B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>
        <f>LOOKUP(G16,J9:K12)</f>
        <v>30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>
        <v>1812.87</v>
      </c>
      <c r="C18" s="115">
        <v>1631.4</v>
      </c>
      <c r="D18" s="115">
        <v>1990.55</v>
      </c>
      <c r="E18" s="115">
        <v>2133.88</v>
      </c>
      <c r="F18" s="115"/>
      <c r="G18" s="116">
        <f>SUM(B18:F18)</f>
        <v>7568.7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>
        <f>SUM(B18/B7)</f>
        <v>0.22488919102313931</v>
      </c>
      <c r="C19" s="129">
        <f t="shared" ref="C19:F19" si="5">SUM(C18/C7)</f>
        <v>0.22639529945961551</v>
      </c>
      <c r="D19" s="129">
        <f t="shared" si="5"/>
        <v>0.19203237600933848</v>
      </c>
      <c r="E19" s="129">
        <f t="shared" si="5"/>
        <v>0.21779930716736789</v>
      </c>
      <c r="F19" s="129" t="e">
        <f t="shared" si="5"/>
        <v>#DIV/0!</v>
      </c>
      <c r="G19" s="129">
        <f>SUM(G18/G7)</f>
        <v>0.21362217829875044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str">
        <f>IF(B19&lt;=20%,"A",IF(B19&lt;=23%,"B",IF(B19&lt;25%,"C",IF(B19&gt;=25%,"F",))))</f>
        <v>B</v>
      </c>
      <c r="C20" s="308" t="str">
        <f>IF(C19&lt;=20%,"A",IF(C19&lt;=23%,"B",IF(C19&lt;25%,"C",IF(C19&gt;=25%,"F",IF))))</f>
        <v>B</v>
      </c>
      <c r="D20" s="308" t="str">
        <f>IF(D19&lt;=20%,"A",IF(D19&lt;=23%,"B",IF(D19&lt;25%,"C",IF(D19&gt;=25%,"F",IF))))</f>
        <v>A</v>
      </c>
      <c r="E20" s="308" t="str">
        <f>IF(E19&lt;=20%,"A",IF(E19&lt;=23%,"B",IF(E19&lt;25%,"C",IF(E19&gt;=25%,"F",IF))))</f>
        <v>B</v>
      </c>
      <c r="F20" s="308" t="e">
        <f>IF(F19&lt;=20%,"A",IF(F19&lt;=23%,"B",IF(F19&lt;25%,"C",IF(F19&gt;=25%,"F",IF))))</f>
        <v>#DIV/0!</v>
      </c>
      <c r="G20" s="130" t="str">
        <f>IF(G19&lt;=20%,"A",IF(G19&lt;=23%,"B",IF(G19&lt;=25%,"C",IF(G19&gt;25%,"F",IF))))</f>
        <v>B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>
        <f>LOOKUP(G20,J9:K12)</f>
        <v>30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>
        <v>0.7</v>
      </c>
      <c r="C22" s="295">
        <v>0.7</v>
      </c>
      <c r="D22" s="295">
        <v>0.72</v>
      </c>
      <c r="E22" s="295">
        <v>0.72</v>
      </c>
      <c r="F22" s="327"/>
      <c r="G22" s="312">
        <f>AVERAGE(B22:F22)</f>
        <v>0.71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>
        <v>0.33</v>
      </c>
      <c r="C23" s="295">
        <v>0.6</v>
      </c>
      <c r="D23" s="295">
        <v>1</v>
      </c>
      <c r="E23" s="295">
        <v>0.8</v>
      </c>
      <c r="F23" s="295"/>
      <c r="G23" s="352">
        <f>AVERAGE(B23:F23)</f>
        <v>0.6825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$-25</v>
      </c>
      <c r="C24" s="313" t="str">
        <f t="shared" si="6"/>
        <v>$-25</v>
      </c>
      <c r="D24" s="313" t="str">
        <f t="shared" si="6"/>
        <v>0</v>
      </c>
      <c r="E24" s="313" t="str">
        <f t="shared" si="6"/>
        <v>0</v>
      </c>
      <c r="F24" s="313" t="str">
        <f t="shared" si="6"/>
        <v>0</v>
      </c>
      <c r="G24" s="313" t="str">
        <f t="shared" si="6"/>
        <v>$-25</v>
      </c>
      <c r="H24" s="149">
        <f>SUM(G12+G17+G21)</f>
        <v>60</v>
      </c>
      <c r="I24" s="150" t="s">
        <v>2</v>
      </c>
      <c r="J24" s="153">
        <f>SUM(H26*1.5)</f>
        <v>71.174999999999997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>
        <v>0</v>
      </c>
      <c r="C25" s="115">
        <v>-1.34</v>
      </c>
      <c r="D25" s="115">
        <v>-0.01</v>
      </c>
      <c r="E25" s="115">
        <v>0</v>
      </c>
      <c r="F25" s="115"/>
      <c r="G25" s="307">
        <f>SUM(B25:F25)</f>
        <v>-1.35</v>
      </c>
      <c r="H25" s="149">
        <f>SUM(G24+G26)</f>
        <v>-26.35</v>
      </c>
      <c r="I25" s="152" t="s">
        <v>3</v>
      </c>
      <c r="J25" s="153">
        <f>SUM(H26*1.25)</f>
        <v>59.312499999999993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-1.34</v>
      </c>
      <c r="D26" s="307">
        <f t="shared" si="7"/>
        <v>-0.01</v>
      </c>
      <c r="E26" s="307">
        <f t="shared" si="7"/>
        <v>0</v>
      </c>
      <c r="F26" s="307">
        <f t="shared" si="7"/>
        <v>0</v>
      </c>
      <c r="G26" s="307">
        <f>G25</f>
        <v>-1.35</v>
      </c>
      <c r="H26" s="155">
        <f>SUM(+H8+H24+H25)</f>
        <v>47.449999999999996</v>
      </c>
      <c r="I26" s="150" t="s">
        <v>4</v>
      </c>
      <c r="J26" s="249">
        <f>SUM(H26*1)</f>
        <v>47.449999999999996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>
        <f>LOOKUP(H9,I24:J26)</f>
        <v>47.449999999999996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>
        <f>SUM(G29*0.66)</f>
        <v>31.317</v>
      </c>
      <c r="D29" s="162"/>
      <c r="E29" s="162"/>
      <c r="F29" s="162"/>
      <c r="G29" s="163">
        <f>IF(E3="FAIL","$0.00",IF(G20="F","$0.00",IF(G16="F","$0.00",IF(E3="PASS",G27,))))</f>
        <v>47.449999999999996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>
        <f>SUM(G29*0.33)</f>
        <v>15.6585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cWshFuClhZcA+KCZayiO4lkEF1j1NlCrha4AIh/2SeOhIbCbfaZ40OEYJPuvgrc5czsuxmYF6wZd3YqcWqxCSw==" saltValue="yVLMIXlOOOI8vl9eMFr2AQ==" spinCount="100000" sheet="1" objects="1" scenarios="1"/>
  <conditionalFormatting sqref="H24">
    <cfRule type="cellIs" dxfId="564" priority="65" stopIfTrue="1" operator="lessThan">
      <formula>0</formula>
    </cfRule>
  </conditionalFormatting>
  <conditionalFormatting sqref="I24:I26">
    <cfRule type="cellIs" dxfId="563" priority="56" stopIfTrue="1" operator="lessThan">
      <formula>0</formula>
    </cfRule>
  </conditionalFormatting>
  <conditionalFormatting sqref="E3">
    <cfRule type="containsText" dxfId="562" priority="54" stopIfTrue="1" operator="containsText" text="PASS">
      <formula>NOT(ISERROR(SEARCH("PASS",E3)))</formula>
    </cfRule>
    <cfRule type="containsText" dxfId="561" priority="55" stopIfTrue="1" operator="containsText" text="FAIL">
      <formula>NOT(ISERROR(SEARCH("FAIL",E3)))</formula>
    </cfRule>
  </conditionalFormatting>
  <conditionalFormatting sqref="B19:G19">
    <cfRule type="cellIs" dxfId="560" priority="43" stopIfTrue="1" operator="greaterThanOrEqual">
      <formula>0.27</formula>
    </cfRule>
    <cfRule type="cellIs" dxfId="559" priority="44" stopIfTrue="1" operator="between">
      <formula>0.23</formula>
      <formula>0.25</formula>
    </cfRule>
    <cfRule type="cellIs" dxfId="558" priority="45" stopIfTrue="1" operator="lessThan">
      <formula>0.2</formula>
    </cfRule>
    <cfRule type="cellIs" dxfId="557" priority="53" stopIfTrue="1" operator="between">
      <formula>0.2</formula>
      <formula>0.2299</formula>
    </cfRule>
  </conditionalFormatting>
  <conditionalFormatting sqref="B15:G15">
    <cfRule type="cellIs" dxfId="556" priority="52" stopIfTrue="1" operator="between">
      <formula>0.3</formula>
      <formula>0.32</formula>
    </cfRule>
  </conditionalFormatting>
  <conditionalFormatting sqref="B10:G10">
    <cfRule type="cellIs" dxfId="555" priority="49" stopIfTrue="1" operator="greaterThan">
      <formula>0.1</formula>
    </cfRule>
    <cfRule type="cellIs" dxfId="554" priority="50" stopIfTrue="1" operator="greaterThan">
      <formula>0.07</formula>
    </cfRule>
    <cfRule type="cellIs" dxfId="553" priority="51" stopIfTrue="1" operator="greaterThan">
      <formula>0.02</formula>
    </cfRule>
  </conditionalFormatting>
  <conditionalFormatting sqref="B15:G15">
    <cfRule type="cellIs" dxfId="552" priority="46" stopIfTrue="1" operator="greaterThanOrEqual">
      <formula>0.32</formula>
    </cfRule>
    <cfRule type="cellIs" dxfId="551" priority="47" stopIfTrue="1" operator="between">
      <formula>0.27</formula>
      <formula>0.3</formula>
    </cfRule>
    <cfRule type="cellIs" dxfId="550" priority="48" stopIfTrue="1" operator="lessThanOrEqual">
      <formula>0.27</formula>
    </cfRule>
  </conditionalFormatting>
  <conditionalFormatting sqref="B26:G26 B28:G28 B27:F27">
    <cfRule type="cellIs" dxfId="549" priority="41" stopIfTrue="1" operator="lessThan">
      <formula>0</formula>
    </cfRule>
  </conditionalFormatting>
  <conditionalFormatting sqref="B10:G10">
    <cfRule type="cellIs" dxfId="548" priority="40" stopIfTrue="1" operator="lessThanOrEqual">
      <formula>0.02</formula>
    </cfRule>
  </conditionalFormatting>
  <conditionalFormatting sqref="B11:G12">
    <cfRule type="cellIs" dxfId="547" priority="36" stopIfTrue="1" operator="equal">
      <formula>"F"</formula>
    </cfRule>
    <cfRule type="cellIs" dxfId="546" priority="37" stopIfTrue="1" operator="equal">
      <formula>"C"</formula>
    </cfRule>
    <cfRule type="cellIs" dxfId="545" priority="38" stopIfTrue="1" operator="equal">
      <formula>"B"</formula>
    </cfRule>
    <cfRule type="cellIs" dxfId="544" priority="39" stopIfTrue="1" operator="equal">
      <formula>"A"</formula>
    </cfRule>
  </conditionalFormatting>
  <conditionalFormatting sqref="B16:G16 F17">
    <cfRule type="cellIs" dxfId="543" priority="32" stopIfTrue="1" operator="equal">
      <formula>"F"</formula>
    </cfRule>
    <cfRule type="cellIs" dxfId="542" priority="33" stopIfTrue="1" operator="equal">
      <formula>"C"</formula>
    </cfRule>
    <cfRule type="cellIs" dxfId="541" priority="34" stopIfTrue="1" operator="equal">
      <formula>"B"</formula>
    </cfRule>
    <cfRule type="cellIs" dxfId="540" priority="35" stopIfTrue="1" operator="equal">
      <formula>"A"</formula>
    </cfRule>
  </conditionalFormatting>
  <conditionalFormatting sqref="B20:G20 B21:F21">
    <cfRule type="cellIs" dxfId="539" priority="28" stopIfTrue="1" operator="equal">
      <formula>"F"</formula>
    </cfRule>
    <cfRule type="cellIs" dxfId="538" priority="29" stopIfTrue="1" operator="equal">
      <formula>"C"</formula>
    </cfRule>
    <cfRule type="cellIs" dxfId="537" priority="30" stopIfTrue="1" operator="equal">
      <formula>"B"</formula>
    </cfRule>
    <cfRule type="cellIs" dxfId="536" priority="31" stopIfTrue="1" operator="equal">
      <formula>"A"</formula>
    </cfRule>
  </conditionalFormatting>
  <conditionalFormatting sqref="G17">
    <cfRule type="cellIs" dxfId="535" priority="24" stopIfTrue="1" operator="equal">
      <formula>"F"</formula>
    </cfRule>
    <cfRule type="cellIs" dxfId="534" priority="25" stopIfTrue="1" operator="equal">
      <formula>"C"</formula>
    </cfRule>
    <cfRule type="cellIs" dxfId="533" priority="26" stopIfTrue="1" operator="equal">
      <formula>"B"</formula>
    </cfRule>
    <cfRule type="cellIs" dxfId="532" priority="27" stopIfTrue="1" operator="equal">
      <formula>"A"</formula>
    </cfRule>
  </conditionalFormatting>
  <conditionalFormatting sqref="G21">
    <cfRule type="cellIs" dxfId="531" priority="20" stopIfTrue="1" operator="equal">
      <formula>"F"</formula>
    </cfRule>
    <cfRule type="cellIs" dxfId="530" priority="21" stopIfTrue="1" operator="equal">
      <formula>"C"</formula>
    </cfRule>
    <cfRule type="cellIs" dxfId="529" priority="22" stopIfTrue="1" operator="equal">
      <formula>"B"</formula>
    </cfRule>
    <cfRule type="cellIs" dxfId="528" priority="23" stopIfTrue="1" operator="equal">
      <formula>"A"</formula>
    </cfRule>
  </conditionalFormatting>
  <conditionalFormatting sqref="B24:G24">
    <cfRule type="cellIs" dxfId="527" priority="15" stopIfTrue="1" operator="greaterThan">
      <formula>10</formula>
    </cfRule>
  </conditionalFormatting>
  <conditionalFormatting sqref="B22:F22">
    <cfRule type="cellIs" dxfId="526" priority="11" stopIfTrue="1" operator="equal">
      <formula>"F"</formula>
    </cfRule>
    <cfRule type="cellIs" dxfId="525" priority="12" stopIfTrue="1" operator="equal">
      <formula>"C"</formula>
    </cfRule>
    <cfRule type="cellIs" dxfId="524" priority="13" stopIfTrue="1" operator="equal">
      <formula>"B"</formula>
    </cfRule>
    <cfRule type="cellIs" dxfId="523" priority="14" stopIfTrue="1" operator="equal">
      <formula>"A"</formula>
    </cfRule>
  </conditionalFormatting>
  <conditionalFormatting sqref="G22">
    <cfRule type="cellIs" dxfId="522" priority="7" stopIfTrue="1" operator="equal">
      <formula>"F"</formula>
    </cfRule>
    <cfRule type="cellIs" dxfId="521" priority="8" stopIfTrue="1" operator="equal">
      <formula>"C"</formula>
    </cfRule>
    <cfRule type="cellIs" dxfId="520" priority="9" stopIfTrue="1" operator="equal">
      <formula>"B"</formula>
    </cfRule>
    <cfRule type="cellIs" dxfId="519" priority="10" stopIfTrue="1" operator="equal">
      <formula>"A"</formula>
    </cfRule>
  </conditionalFormatting>
  <conditionalFormatting sqref="B23:F23">
    <cfRule type="cellIs" dxfId="518" priority="5" operator="lessThanOrEqual">
      <formula>$B$22</formula>
    </cfRule>
    <cfRule type="cellIs" dxfId="517" priority="6" operator="greaterThanOrEqual">
      <formula>$B$22</formula>
    </cfRule>
  </conditionalFormatting>
  <conditionalFormatting sqref="G23">
    <cfRule type="cellIs" dxfId="516" priority="1" operator="lessThanOrEqual">
      <formula>$B$22</formula>
    </cfRule>
    <cfRule type="cellIs" dxfId="515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7" zoomScaleNormal="100" workbookViewId="0">
      <selection activeCell="F24" sqref="F24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92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>
        <v>15945</v>
      </c>
      <c r="C5" s="115">
        <v>14444.9</v>
      </c>
      <c r="D5" s="115">
        <v>16030.9</v>
      </c>
      <c r="E5" s="114">
        <v>13999</v>
      </c>
      <c r="F5" s="114">
        <v>14532</v>
      </c>
      <c r="G5" s="116">
        <f>SUM(B5:F5)</f>
        <v>74951.8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>
        <v>43956</v>
      </c>
      <c r="C6" s="347">
        <f>B6+7</f>
        <v>43963</v>
      </c>
      <c r="D6" s="347">
        <f>C6+7</f>
        <v>43970</v>
      </c>
      <c r="E6" s="347">
        <f>D6+7</f>
        <v>43977</v>
      </c>
      <c r="F6" s="347">
        <f>E6+7</f>
        <v>43984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>
        <v>10939</v>
      </c>
      <c r="C7" s="115">
        <v>12866</v>
      </c>
      <c r="D7" s="115">
        <v>13282.5</v>
      </c>
      <c r="E7" s="114">
        <v>13914</v>
      </c>
      <c r="F7" s="114">
        <v>13967</v>
      </c>
      <c r="G7" s="116">
        <f>SUM(B7:F7)</f>
        <v>64968.5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>
        <v>0</v>
      </c>
      <c r="C8" s="121">
        <v>393</v>
      </c>
      <c r="D8" s="115">
        <v>40</v>
      </c>
      <c r="E8" s="115">
        <v>384</v>
      </c>
      <c r="F8" s="120">
        <v>40</v>
      </c>
      <c r="G8" s="116">
        <f>SUM(B8:F8)</f>
        <v>857</v>
      </c>
      <c r="H8" s="255">
        <f>SUM(G8*0.03)</f>
        <v>25.709999999999997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10939</v>
      </c>
      <c r="C9" s="296">
        <f>SUM(C7-C8)</f>
        <v>12473</v>
      </c>
      <c r="D9" s="296">
        <f t="shared" ref="D9:F9" si="0">SUM(D7-D8)</f>
        <v>13242.5</v>
      </c>
      <c r="E9" s="296">
        <f t="shared" si="0"/>
        <v>13530</v>
      </c>
      <c r="F9" s="296">
        <f t="shared" si="0"/>
        <v>13927</v>
      </c>
      <c r="G9" s="307">
        <f>SUM(G7-G8)</f>
        <v>64111.5</v>
      </c>
      <c r="H9" s="123" t="str">
        <f>IF(G9&gt;=71000,"A",IF(G9&gt;55000,"B",IF(G9&lt;=55000,"C")))</f>
        <v>B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>
        <f>(B7-B5)/B5</f>
        <v>-0.31395421762307935</v>
      </c>
      <c r="C10" s="128">
        <f t="shared" ref="C10:F10" si="1">(C7-C5)/C5</f>
        <v>-0.10930501422647437</v>
      </c>
      <c r="D10" s="128">
        <f t="shared" si="1"/>
        <v>-0.17144389897011394</v>
      </c>
      <c r="E10" s="128">
        <f t="shared" si="1"/>
        <v>-6.0718622758768482E-3</v>
      </c>
      <c r="F10" s="128">
        <f t="shared" si="1"/>
        <v>-3.8879713735205067E-2</v>
      </c>
      <c r="G10" s="129">
        <f>(G7-G5)/G5</f>
        <v>-0.13319626746789273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str">
        <f>IF(B10&gt;=10%,"A",IF(B10&gt;=7%,"B",IF(B10&gt;2%,"C",IF(B10&lt;2%,"F",))))</f>
        <v>F</v>
      </c>
      <c r="C11" s="308" t="str">
        <f t="shared" ref="C11:F11" si="2">IF(C10&gt;=10%,"A",IF(C10&gt;=7%,"B",IF(C10&gt;2%,"C",IF(C10&lt;2%,"F",))))</f>
        <v>F</v>
      </c>
      <c r="D11" s="308" t="str">
        <f t="shared" si="2"/>
        <v>F</v>
      </c>
      <c r="E11" s="308" t="str">
        <f t="shared" si="2"/>
        <v>F</v>
      </c>
      <c r="F11" s="308" t="str">
        <f t="shared" si="2"/>
        <v>F</v>
      </c>
      <c r="G11" s="130" t="str">
        <f>IF(G10&gt;=10%,"A",IF(G10&gt;=7%,"B",IF(G10&gt;2%,"C",IF(G10&lt;2%,"F",))))</f>
        <v>F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>
        <f>LOOKUP(G11,J9:K12)</f>
        <v>0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>
        <v>2450.27</v>
      </c>
      <c r="C13" s="115">
        <v>3582.69</v>
      </c>
      <c r="D13" s="115">
        <v>3513.35</v>
      </c>
      <c r="E13" s="115">
        <v>4132.4799999999996</v>
      </c>
      <c r="F13" s="120">
        <v>4098.6400000000003</v>
      </c>
      <c r="G13" s="116">
        <f>SUM(B13:F13)+G14</f>
        <v>17890.25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>
        <v>112.82</v>
      </c>
      <c r="F14" s="120"/>
      <c r="G14" s="116">
        <f>SUM(B14:F14)</f>
        <v>112.82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>
        <f>SUM(B13/B7)</f>
        <v>0.22399396654173143</v>
      </c>
      <c r="C15" s="129">
        <f t="shared" ref="C15:F15" si="3">SUM(C13/C7)</f>
        <v>0.27846183740090158</v>
      </c>
      <c r="D15" s="129">
        <f t="shared" si="3"/>
        <v>0.2645096932053454</v>
      </c>
      <c r="E15" s="129">
        <f t="shared" si="3"/>
        <v>0.29700158114129649</v>
      </c>
      <c r="F15" s="129">
        <f t="shared" si="3"/>
        <v>0.29345170759647743</v>
      </c>
      <c r="G15" s="129">
        <f>SUM(G13/G7)</f>
        <v>0.27536806298436933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str">
        <f>IF(B15&lt;=27%,"A",IF(B15&lt;=30%,"B",IF(B15&lt;32%,"C",IF(B15&gt;=32%,"F",))))</f>
        <v>A</v>
      </c>
      <c r="C16" s="308" t="str">
        <f t="shared" ref="C16:F16" si="4">IF(C15&lt;=27%,"A",IF(C15&lt;=30%,"B",IF(C15&lt;32%,"C",IF(C15&gt;=32%,"F",))))</f>
        <v>B</v>
      </c>
      <c r="D16" s="308" t="str">
        <f t="shared" si="4"/>
        <v>A</v>
      </c>
      <c r="E16" s="308" t="str">
        <f t="shared" si="4"/>
        <v>B</v>
      </c>
      <c r="F16" s="308" t="str">
        <f t="shared" si="4"/>
        <v>B</v>
      </c>
      <c r="G16" s="130" t="str">
        <f>IF(G15&lt;=27%,"A",IF(G15&lt;=30%,"B",IF(G15&lt;=32%,"C",IF(G15&gt;32%,"F",))))</f>
        <v>B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>
        <f>LOOKUP(G16,J9:K12)</f>
        <v>30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>
        <v>2126.8000000000002</v>
      </c>
      <c r="C18" s="115">
        <v>2474.1</v>
      </c>
      <c r="D18" s="115">
        <v>2658.5</v>
      </c>
      <c r="E18" s="115">
        <v>2652.4</v>
      </c>
      <c r="F18" s="115">
        <v>2456.3000000000002</v>
      </c>
      <c r="G18" s="116">
        <f>SUM(B18:F18)</f>
        <v>12368.099999999999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>
        <f>SUM(B18/B7)</f>
        <v>0.19442362190328186</v>
      </c>
      <c r="C19" s="129">
        <f t="shared" ref="C19:F19" si="5">SUM(C18/C7)</f>
        <v>0.19229752836934555</v>
      </c>
      <c r="D19" s="129">
        <f t="shared" si="5"/>
        <v>0.20015057406361755</v>
      </c>
      <c r="E19" s="129">
        <f t="shared" si="5"/>
        <v>0.19062814431507835</v>
      </c>
      <c r="F19" s="129">
        <f t="shared" si="5"/>
        <v>0.1758645378391924</v>
      </c>
      <c r="G19" s="129">
        <f>SUM(G18/G7)</f>
        <v>0.19037071811724141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str">
        <f>IF(B19&lt;=20%,"A",IF(B19&lt;=23%,"B",IF(B19&lt;25%,"C",IF(B19&gt;=25%,"F",))))</f>
        <v>A</v>
      </c>
      <c r="C20" s="308" t="str">
        <f>IF(C19&lt;=20%,"A",IF(C19&lt;=23%,"B",IF(C19&lt;25%,"C",IF(C19&gt;=25%,"F",IF))))</f>
        <v>A</v>
      </c>
      <c r="D20" s="308" t="str">
        <f>IF(D19&lt;=20%,"A",IF(D19&lt;=23%,"B",IF(D19&lt;25%,"C",IF(D19&gt;=25%,"F",IF))))</f>
        <v>B</v>
      </c>
      <c r="E20" s="308" t="str">
        <f>IF(E19&lt;=20%,"A",IF(E19&lt;=23%,"B",IF(E19&lt;25%,"C",IF(E19&gt;=25%,"F",IF))))</f>
        <v>A</v>
      </c>
      <c r="F20" s="308" t="str">
        <f>IF(F19&lt;=20%,"A",IF(F19&lt;=23%,"B",IF(F19&lt;25%,"C",IF(F19&gt;=25%,"F",IF))))</f>
        <v>A</v>
      </c>
      <c r="G20" s="130" t="str">
        <f>IF(G19&lt;=20%,"A",IF(G19&lt;=23%,"B",IF(G19&lt;=25%,"C",IF(G19&gt;25%,"F",IF))))</f>
        <v>A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>
        <f>LOOKUP(G20,J9:K12)</f>
        <v>50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>
        <v>0.62</v>
      </c>
      <c r="C22" s="295">
        <v>0.56000000000000005</v>
      </c>
      <c r="D22" s="295">
        <v>0.55000000000000004</v>
      </c>
      <c r="E22" s="295">
        <v>0.54</v>
      </c>
      <c r="F22" s="327">
        <v>0.54</v>
      </c>
      <c r="G22" s="312">
        <f>AVERAGE(B22:F22)</f>
        <v>0.56200000000000006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>
        <v>0</v>
      </c>
      <c r="C23" s="295">
        <v>1</v>
      </c>
      <c r="D23" s="295">
        <v>0.53</v>
      </c>
      <c r="E23" s="295">
        <v>0.54</v>
      </c>
      <c r="F23" s="295">
        <v>0.55000000000000004</v>
      </c>
      <c r="G23" s="352">
        <f>AVERAGE(B23:F23)</f>
        <v>0.52400000000000002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$-25</v>
      </c>
      <c r="C24" s="313" t="str">
        <f t="shared" si="6"/>
        <v>0</v>
      </c>
      <c r="D24" s="313" t="str">
        <f t="shared" si="6"/>
        <v>$-25</v>
      </c>
      <c r="E24" s="313" t="str">
        <f t="shared" si="6"/>
        <v>0</v>
      </c>
      <c r="F24" s="313" t="str">
        <f t="shared" si="6"/>
        <v>0</v>
      </c>
      <c r="G24" s="313" t="str">
        <f t="shared" si="6"/>
        <v>$-25</v>
      </c>
      <c r="H24" s="149">
        <f>SUM(+G12+G17+G21)</f>
        <v>80</v>
      </c>
      <c r="I24" s="150" t="s">
        <v>2</v>
      </c>
      <c r="J24" s="151">
        <f>SUM(H26*1.5)</f>
        <v>121.065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>
        <v>0</v>
      </c>
      <c r="C25" s="115">
        <v>0</v>
      </c>
      <c r="D25" s="115">
        <v>0</v>
      </c>
      <c r="E25" s="115">
        <v>0</v>
      </c>
      <c r="F25" s="115">
        <v>0</v>
      </c>
      <c r="G25" s="307">
        <f>SUM(B25:F25)</f>
        <v>0</v>
      </c>
      <c r="H25" s="149">
        <f>SUM(G24+G26)</f>
        <v>-25</v>
      </c>
      <c r="I25" s="152" t="s">
        <v>3</v>
      </c>
      <c r="J25" s="153">
        <f>SUM(H26*1.25)</f>
        <v>100.88749999999999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>
        <f>SUM(+H8+H24+H25)</f>
        <v>80.709999999999994</v>
      </c>
      <c r="I26" s="150" t="s">
        <v>4</v>
      </c>
      <c r="J26" s="249">
        <f>SUM(H26*1)</f>
        <v>80.709999999999994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>
        <f>LOOKUP(H9,I24:J26)</f>
        <v>100.88749999999999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>
        <f>SUM(G29*0.66)</f>
        <v>66.58574999999999</v>
      </c>
      <c r="D29" s="162"/>
      <c r="E29" s="162"/>
      <c r="F29" s="162"/>
      <c r="G29" s="163">
        <f>IF(E3="FAIL","$0.00",IF(G20="F","$0.00",IF(G16="F","$0.00",IF(E3="PASS",G27,))))</f>
        <v>100.88749999999999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>
        <f>SUM(G29*0.33)</f>
        <v>33.292874999999995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8oW4vXQRndvVjqwwpyDxWJPQvIzMyo1l34Sglrz0TNz07FCh7otKUjygCtvSvlAsZ4POkPuYDBEjUvPDrxSHhA==" saltValue="lYPFTyzj/V5rLUW+uOJ3hA==" spinCount="100000" sheet="1" objects="1" scenarios="1"/>
  <conditionalFormatting sqref="H24">
    <cfRule type="cellIs" dxfId="514" priority="65" stopIfTrue="1" operator="lessThan">
      <formula>0</formula>
    </cfRule>
  </conditionalFormatting>
  <conditionalFormatting sqref="I24:I26">
    <cfRule type="cellIs" dxfId="513" priority="56" stopIfTrue="1" operator="lessThan">
      <formula>0</formula>
    </cfRule>
  </conditionalFormatting>
  <conditionalFormatting sqref="E3">
    <cfRule type="containsText" dxfId="512" priority="54" stopIfTrue="1" operator="containsText" text="PASS">
      <formula>NOT(ISERROR(SEARCH("PASS",E3)))</formula>
    </cfRule>
    <cfRule type="containsText" dxfId="511" priority="55" stopIfTrue="1" operator="containsText" text="FAIL">
      <formula>NOT(ISERROR(SEARCH("FAIL",E3)))</formula>
    </cfRule>
  </conditionalFormatting>
  <conditionalFormatting sqref="B19:G19">
    <cfRule type="cellIs" dxfId="510" priority="43" stopIfTrue="1" operator="greaterThanOrEqual">
      <formula>0.27</formula>
    </cfRule>
    <cfRule type="cellIs" dxfId="509" priority="44" stopIfTrue="1" operator="between">
      <formula>0.23</formula>
      <formula>0.25</formula>
    </cfRule>
    <cfRule type="cellIs" dxfId="508" priority="45" stopIfTrue="1" operator="lessThan">
      <formula>0.2</formula>
    </cfRule>
    <cfRule type="cellIs" dxfId="507" priority="53" stopIfTrue="1" operator="between">
      <formula>0.2</formula>
      <formula>0.2299</formula>
    </cfRule>
  </conditionalFormatting>
  <conditionalFormatting sqref="B15:G15">
    <cfRule type="cellIs" dxfId="506" priority="52" stopIfTrue="1" operator="between">
      <formula>0.3</formula>
      <formula>0.32</formula>
    </cfRule>
  </conditionalFormatting>
  <conditionalFormatting sqref="B10:G10">
    <cfRule type="cellIs" dxfId="505" priority="49" stopIfTrue="1" operator="greaterThan">
      <formula>0.1</formula>
    </cfRule>
    <cfRule type="cellIs" dxfId="504" priority="50" stopIfTrue="1" operator="greaterThan">
      <formula>0.07</formula>
    </cfRule>
    <cfRule type="cellIs" dxfId="503" priority="51" stopIfTrue="1" operator="greaterThan">
      <formula>0.02</formula>
    </cfRule>
  </conditionalFormatting>
  <conditionalFormatting sqref="B15:G15">
    <cfRule type="cellIs" dxfId="502" priority="46" stopIfTrue="1" operator="greaterThanOrEqual">
      <formula>0.32</formula>
    </cfRule>
    <cfRule type="cellIs" dxfId="501" priority="47" stopIfTrue="1" operator="between">
      <formula>0.27</formula>
      <formula>0.3</formula>
    </cfRule>
    <cfRule type="cellIs" dxfId="500" priority="48" stopIfTrue="1" operator="lessThanOrEqual">
      <formula>0.27</formula>
    </cfRule>
  </conditionalFormatting>
  <conditionalFormatting sqref="B26:G26 B28:G28 B27:F27">
    <cfRule type="cellIs" dxfId="499" priority="41" stopIfTrue="1" operator="lessThan">
      <formula>0</formula>
    </cfRule>
  </conditionalFormatting>
  <conditionalFormatting sqref="B10:G10">
    <cfRule type="cellIs" dxfId="498" priority="40" stopIfTrue="1" operator="lessThanOrEqual">
      <formula>0.02</formula>
    </cfRule>
  </conditionalFormatting>
  <conditionalFormatting sqref="B11:G12">
    <cfRule type="cellIs" dxfId="497" priority="36" stopIfTrue="1" operator="equal">
      <formula>"F"</formula>
    </cfRule>
    <cfRule type="cellIs" dxfId="496" priority="37" stopIfTrue="1" operator="equal">
      <formula>"C"</formula>
    </cfRule>
    <cfRule type="cellIs" dxfId="495" priority="38" stopIfTrue="1" operator="equal">
      <formula>"B"</formula>
    </cfRule>
    <cfRule type="cellIs" dxfId="494" priority="39" stopIfTrue="1" operator="equal">
      <formula>"A"</formula>
    </cfRule>
  </conditionalFormatting>
  <conditionalFormatting sqref="B16:G16 F17">
    <cfRule type="cellIs" dxfId="493" priority="32" stopIfTrue="1" operator="equal">
      <formula>"F"</formula>
    </cfRule>
    <cfRule type="cellIs" dxfId="492" priority="33" stopIfTrue="1" operator="equal">
      <formula>"C"</formula>
    </cfRule>
    <cfRule type="cellIs" dxfId="491" priority="34" stopIfTrue="1" operator="equal">
      <formula>"B"</formula>
    </cfRule>
    <cfRule type="cellIs" dxfId="490" priority="35" stopIfTrue="1" operator="equal">
      <formula>"A"</formula>
    </cfRule>
  </conditionalFormatting>
  <conditionalFormatting sqref="B20:G20 B21:F21">
    <cfRule type="cellIs" dxfId="489" priority="28" stopIfTrue="1" operator="equal">
      <formula>"F"</formula>
    </cfRule>
    <cfRule type="cellIs" dxfId="488" priority="29" stopIfTrue="1" operator="equal">
      <formula>"C"</formula>
    </cfRule>
    <cfRule type="cellIs" dxfId="487" priority="30" stopIfTrue="1" operator="equal">
      <formula>"B"</formula>
    </cfRule>
    <cfRule type="cellIs" dxfId="486" priority="31" stopIfTrue="1" operator="equal">
      <formula>"A"</formula>
    </cfRule>
  </conditionalFormatting>
  <conditionalFormatting sqref="G17">
    <cfRule type="cellIs" dxfId="485" priority="24" stopIfTrue="1" operator="equal">
      <formula>"F"</formula>
    </cfRule>
    <cfRule type="cellIs" dxfId="484" priority="25" stopIfTrue="1" operator="equal">
      <formula>"C"</formula>
    </cfRule>
    <cfRule type="cellIs" dxfId="483" priority="26" stopIfTrue="1" operator="equal">
      <formula>"B"</formula>
    </cfRule>
    <cfRule type="cellIs" dxfId="482" priority="27" stopIfTrue="1" operator="equal">
      <formula>"A"</formula>
    </cfRule>
  </conditionalFormatting>
  <conditionalFormatting sqref="G21">
    <cfRule type="cellIs" dxfId="481" priority="20" stopIfTrue="1" operator="equal">
      <formula>"F"</formula>
    </cfRule>
    <cfRule type="cellIs" dxfId="480" priority="21" stopIfTrue="1" operator="equal">
      <formula>"C"</formula>
    </cfRule>
    <cfRule type="cellIs" dxfId="479" priority="22" stopIfTrue="1" operator="equal">
      <formula>"B"</formula>
    </cfRule>
    <cfRule type="cellIs" dxfId="478" priority="23" stopIfTrue="1" operator="equal">
      <formula>"A"</formula>
    </cfRule>
  </conditionalFormatting>
  <conditionalFormatting sqref="B24:G24">
    <cfRule type="cellIs" dxfId="477" priority="15" stopIfTrue="1" operator="greaterThan">
      <formula>10</formula>
    </cfRule>
  </conditionalFormatting>
  <conditionalFormatting sqref="B22:F22">
    <cfRule type="cellIs" dxfId="476" priority="11" stopIfTrue="1" operator="equal">
      <formula>"F"</formula>
    </cfRule>
    <cfRule type="cellIs" dxfId="475" priority="12" stopIfTrue="1" operator="equal">
      <formula>"C"</formula>
    </cfRule>
    <cfRule type="cellIs" dxfId="474" priority="13" stopIfTrue="1" operator="equal">
      <formula>"B"</formula>
    </cfRule>
    <cfRule type="cellIs" dxfId="473" priority="14" stopIfTrue="1" operator="equal">
      <formula>"A"</formula>
    </cfRule>
  </conditionalFormatting>
  <conditionalFormatting sqref="G22">
    <cfRule type="cellIs" dxfId="472" priority="7" stopIfTrue="1" operator="equal">
      <formula>"F"</formula>
    </cfRule>
    <cfRule type="cellIs" dxfId="471" priority="8" stopIfTrue="1" operator="equal">
      <formula>"C"</formula>
    </cfRule>
    <cfRule type="cellIs" dxfId="470" priority="9" stopIfTrue="1" operator="equal">
      <formula>"B"</formula>
    </cfRule>
    <cfRule type="cellIs" dxfId="469" priority="10" stopIfTrue="1" operator="equal">
      <formula>"A"</formula>
    </cfRule>
  </conditionalFormatting>
  <conditionalFormatting sqref="B23:F23">
    <cfRule type="cellIs" dxfId="468" priority="5" operator="lessThanOrEqual">
      <formula>$B$22</formula>
    </cfRule>
    <cfRule type="cellIs" dxfId="467" priority="6" operator="greaterThanOrEqual">
      <formula>$B$22</formula>
    </cfRule>
  </conditionalFormatting>
  <conditionalFormatting sqref="G23">
    <cfRule type="cellIs" dxfId="466" priority="1" operator="lessThanOrEqual">
      <formula>$B$22</formula>
    </cfRule>
    <cfRule type="cellIs" dxfId="465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25" zoomScaleNormal="100" workbookViewId="0">
      <selection activeCell="D25" sqref="D25"/>
    </sheetView>
  </sheetViews>
  <sheetFormatPr defaultRowHeight="15"/>
  <cols>
    <col min="1" max="1" width="32.28515625" style="166" customWidth="1"/>
    <col min="2" max="5" width="19.85546875" bestFit="1" customWidth="1"/>
    <col min="6" max="6" width="19.85546875" customWidth="1"/>
    <col min="7" max="7" width="19.85546875" bestFit="1" customWidth="1"/>
    <col min="8" max="8" width="15.7109375" style="110" bestFit="1" customWidth="1"/>
    <col min="9" max="9" width="7.140625" style="110" bestFit="1" customWidth="1"/>
    <col min="10" max="10" width="14.7109375" style="110" bestFit="1" customWidth="1"/>
    <col min="11" max="11" width="13.5703125" style="110" bestFit="1" customWidth="1"/>
    <col min="12" max="12" width="13.85546875" style="85" bestFit="1" customWidth="1"/>
    <col min="13" max="13" width="9.140625" style="85"/>
  </cols>
  <sheetData>
    <row r="1" spans="1:13" ht="29.25" thickBot="1">
      <c r="A1" s="165" t="s">
        <v>67</v>
      </c>
      <c r="B1" s="190">
        <f>JAN!B1</f>
        <v>870</v>
      </c>
      <c r="C1" s="9"/>
      <c r="D1" s="112">
        <f>JAN!D1</f>
        <v>2020</v>
      </c>
      <c r="E1" s="30"/>
      <c r="F1" s="30" t="s">
        <v>40</v>
      </c>
      <c r="G1" s="113" t="s">
        <v>91</v>
      </c>
    </row>
    <row r="2" spans="1:13" ht="27" thickBot="1">
      <c r="A2" s="165"/>
      <c r="B2" s="32"/>
      <c r="C2" s="9"/>
      <c r="D2" s="9"/>
      <c r="E2" s="30"/>
      <c r="F2" s="105"/>
      <c r="G2" s="107"/>
      <c r="J2" s="111"/>
    </row>
    <row r="3" spans="1:13" ht="40.5" customHeight="1" thickBot="1">
      <c r="D3" s="109" t="s">
        <v>38</v>
      </c>
      <c r="E3" s="251" t="s">
        <v>81</v>
      </c>
      <c r="F3" s="106"/>
      <c r="G3" s="108"/>
    </row>
    <row r="4" spans="1:13" s="30" customFormat="1" ht="40.5" customHeight="1" thickBot="1">
      <c r="A4" s="87"/>
      <c r="B4" s="88" t="s">
        <v>11</v>
      </c>
      <c r="C4" s="89" t="s">
        <v>12</v>
      </c>
      <c r="D4" s="89" t="s">
        <v>13</v>
      </c>
      <c r="E4" s="90" t="s">
        <v>14</v>
      </c>
      <c r="F4" s="90" t="s">
        <v>66</v>
      </c>
      <c r="G4" s="91" t="s">
        <v>15</v>
      </c>
      <c r="H4" s="110"/>
      <c r="I4" s="110"/>
      <c r="J4" s="110"/>
      <c r="K4" s="110"/>
      <c r="L4" s="86"/>
      <c r="M4" s="86"/>
    </row>
    <row r="5" spans="1:13" s="119" customFormat="1" ht="40.5" customHeight="1" thickBot="1">
      <c r="A5" s="297" t="s">
        <v>10</v>
      </c>
      <c r="B5" s="114">
        <v>13564</v>
      </c>
      <c r="C5" s="115">
        <v>13349</v>
      </c>
      <c r="D5" s="115">
        <v>13223</v>
      </c>
      <c r="E5" s="114">
        <v>14895</v>
      </c>
      <c r="F5" s="114"/>
      <c r="G5" s="116">
        <f>SUM(B5:F5)</f>
        <v>55031</v>
      </c>
      <c r="H5" s="117"/>
      <c r="I5" s="117"/>
      <c r="J5" s="117"/>
      <c r="K5" s="117"/>
      <c r="L5" s="118"/>
      <c r="M5" s="118"/>
    </row>
    <row r="6" spans="1:13" s="39" customFormat="1" ht="40.5" customHeight="1" thickBot="1">
      <c r="A6" s="298" t="s">
        <v>106</v>
      </c>
      <c r="B6" s="294">
        <v>43991</v>
      </c>
      <c r="C6" s="347">
        <f>B6+7</f>
        <v>43998</v>
      </c>
      <c r="D6" s="347">
        <f>C6+7</f>
        <v>44005</v>
      </c>
      <c r="E6" s="347">
        <f>D6+7</f>
        <v>44012</v>
      </c>
      <c r="F6" s="347">
        <f>E6+7</f>
        <v>44019</v>
      </c>
      <c r="G6" s="250"/>
      <c r="H6" s="110"/>
      <c r="I6" s="110"/>
      <c r="J6" s="110"/>
      <c r="K6" s="110"/>
      <c r="L6" s="85"/>
      <c r="M6" s="85"/>
    </row>
    <row r="7" spans="1:13" s="119" customFormat="1" ht="40.5" customHeight="1" thickBot="1">
      <c r="A7" s="297" t="s">
        <v>107</v>
      </c>
      <c r="B7" s="120">
        <v>14500</v>
      </c>
      <c r="C7" s="115">
        <v>14269</v>
      </c>
      <c r="D7" s="115">
        <v>13938</v>
      </c>
      <c r="E7" s="114">
        <v>14112</v>
      </c>
      <c r="F7" s="114"/>
      <c r="G7" s="116">
        <f>SUM(B7:F7)</f>
        <v>56819</v>
      </c>
      <c r="H7" s="117"/>
      <c r="I7" s="117"/>
      <c r="J7" s="117"/>
      <c r="K7" s="117"/>
      <c r="L7" s="118"/>
      <c r="M7" s="118"/>
    </row>
    <row r="8" spans="1:13" s="119" customFormat="1" ht="40.5" customHeight="1" thickBot="1">
      <c r="A8" s="297" t="s">
        <v>17</v>
      </c>
      <c r="B8" s="120">
        <v>120</v>
      </c>
      <c r="C8" s="121">
        <v>160</v>
      </c>
      <c r="D8" s="115">
        <v>160</v>
      </c>
      <c r="E8" s="115">
        <v>80</v>
      </c>
      <c r="F8" s="120"/>
      <c r="G8" s="116">
        <f>SUM(B8:F8)</f>
        <v>520</v>
      </c>
      <c r="H8" s="255">
        <f>SUM(G8*0.03)</f>
        <v>15.6</v>
      </c>
      <c r="I8" s="117"/>
      <c r="J8" s="117"/>
      <c r="K8" s="117"/>
      <c r="L8" s="118"/>
      <c r="M8" s="118"/>
    </row>
    <row r="9" spans="1:13" s="127" customFormat="1" ht="40.5" customHeight="1" thickBot="1">
      <c r="A9" s="299" t="s">
        <v>23</v>
      </c>
      <c r="B9" s="296">
        <f>SUM(B7-B8)</f>
        <v>14380</v>
      </c>
      <c r="C9" s="296">
        <f>SUM(C7-C8)</f>
        <v>14109</v>
      </c>
      <c r="D9" s="296">
        <f t="shared" ref="D9:F9" si="0">SUM(D7-D8)</f>
        <v>13778</v>
      </c>
      <c r="E9" s="296">
        <f t="shared" si="0"/>
        <v>14032</v>
      </c>
      <c r="F9" s="296">
        <f t="shared" si="0"/>
        <v>0</v>
      </c>
      <c r="G9" s="307">
        <f>SUM(G7-G8)</f>
        <v>56299</v>
      </c>
      <c r="H9" s="123" t="str">
        <f>IF(G9&gt;=71000,"A",IF(G9&gt;55000,"B",IF(G9&lt;=55000,"C")))</f>
        <v>B</v>
      </c>
      <c r="I9" s="124"/>
      <c r="J9" s="123" t="s">
        <v>2</v>
      </c>
      <c r="K9" s="125">
        <f>GUIDELINES!D38</f>
        <v>50</v>
      </c>
      <c r="L9" s="126"/>
      <c r="M9" s="126"/>
    </row>
    <row r="10" spans="1:13" s="119" customFormat="1" ht="40.5" customHeight="1" thickBot="1">
      <c r="A10" s="299" t="s">
        <v>21</v>
      </c>
      <c r="B10" s="128">
        <f>(B7-B5)/B5</f>
        <v>6.9006192863462101E-2</v>
      </c>
      <c r="C10" s="128">
        <f t="shared" ref="C10:F10" si="1">(C7-C5)/C5</f>
        <v>6.8919020151322202E-2</v>
      </c>
      <c r="D10" s="128">
        <f t="shared" si="1"/>
        <v>5.4072449519776147E-2</v>
      </c>
      <c r="E10" s="128">
        <f t="shared" si="1"/>
        <v>-5.2567975830815711E-2</v>
      </c>
      <c r="F10" s="128" t="e">
        <f t="shared" si="1"/>
        <v>#DIV/0!</v>
      </c>
      <c r="G10" s="129">
        <f>(G7-G5)/G5</f>
        <v>3.2490777925169453E-2</v>
      </c>
      <c r="H10" s="124"/>
      <c r="I10" s="124"/>
      <c r="J10" s="123" t="s">
        <v>3</v>
      </c>
      <c r="K10" s="125">
        <f>GUIDELINES!F38</f>
        <v>30</v>
      </c>
      <c r="L10" s="118"/>
      <c r="M10" s="118"/>
    </row>
    <row r="11" spans="1:13" s="119" customFormat="1" ht="40.5" customHeight="1" thickBot="1">
      <c r="A11" s="299" t="s">
        <v>68</v>
      </c>
      <c r="B11" s="308" t="str">
        <f>IF(B10&gt;=10%,"A",IF(B10&gt;=7%,"B",IF(B10&gt;2%,"C",IF(B10&lt;2%,"F",))))</f>
        <v>C</v>
      </c>
      <c r="C11" s="308" t="str">
        <f t="shared" ref="C11:F11" si="2">IF(C10&gt;=10%,"A",IF(C10&gt;=7%,"B",IF(C10&gt;2%,"C",IF(C10&lt;2%,"F",))))</f>
        <v>C</v>
      </c>
      <c r="D11" s="308" t="str">
        <f t="shared" si="2"/>
        <v>C</v>
      </c>
      <c r="E11" s="308" t="str">
        <f t="shared" si="2"/>
        <v>F</v>
      </c>
      <c r="F11" s="308" t="e">
        <f t="shared" si="2"/>
        <v>#DIV/0!</v>
      </c>
      <c r="G11" s="130" t="str">
        <f>IF(G10&gt;=10%,"A",IF(G10&gt;=7%,"B",IF(G10&gt;2%,"C",IF(G10&lt;2%,"F",))))</f>
        <v>C</v>
      </c>
      <c r="H11" s="124"/>
      <c r="I11" s="124"/>
      <c r="J11" s="123" t="s">
        <v>4</v>
      </c>
      <c r="K11" s="125">
        <f>GUIDELINES!H38</f>
        <v>20</v>
      </c>
      <c r="L11" s="118"/>
      <c r="M11" s="118"/>
    </row>
    <row r="12" spans="1:13" s="119" customFormat="1" ht="40.5" customHeight="1" thickBot="1">
      <c r="A12" s="299"/>
      <c r="B12" s="309"/>
      <c r="C12" s="309"/>
      <c r="D12" s="309"/>
      <c r="E12" s="310"/>
      <c r="F12" s="310" t="s">
        <v>69</v>
      </c>
      <c r="G12" s="311">
        <f>LOOKUP(G11,J9:K12)</f>
        <v>20</v>
      </c>
      <c r="H12" s="124"/>
      <c r="I12" s="131"/>
      <c r="J12" s="132" t="s">
        <v>5</v>
      </c>
      <c r="K12" s="133">
        <v>0</v>
      </c>
      <c r="L12" s="134"/>
      <c r="M12" s="118"/>
    </row>
    <row r="13" spans="1:13" s="119" customFormat="1" ht="40.5" customHeight="1" thickBot="1">
      <c r="A13" s="299" t="s">
        <v>7</v>
      </c>
      <c r="B13" s="115">
        <v>4606.83</v>
      </c>
      <c r="C13" s="115">
        <v>4662.53</v>
      </c>
      <c r="D13" s="115">
        <v>3882.37</v>
      </c>
      <c r="E13" s="115">
        <v>3839.57</v>
      </c>
      <c r="F13" s="120"/>
      <c r="G13" s="116">
        <f>SUM(B13:F13)+G14</f>
        <v>16991.3</v>
      </c>
      <c r="H13" s="135"/>
      <c r="I13" s="136"/>
      <c r="J13" s="137"/>
      <c r="K13" s="136"/>
      <c r="L13" s="138"/>
      <c r="M13" s="118"/>
    </row>
    <row r="14" spans="1:13" s="119" customFormat="1" ht="40.5" customHeight="1" thickBot="1">
      <c r="A14" s="297" t="s">
        <v>105</v>
      </c>
      <c r="B14" s="115"/>
      <c r="C14" s="115"/>
      <c r="D14" s="115"/>
      <c r="E14" s="115"/>
      <c r="F14" s="120"/>
      <c r="G14" s="116">
        <f>SUM(B14:F14)</f>
        <v>0</v>
      </c>
      <c r="H14" s="135"/>
      <c r="I14" s="136"/>
      <c r="J14" s="137"/>
      <c r="K14" s="136"/>
      <c r="L14" s="138"/>
      <c r="M14" s="118"/>
    </row>
    <row r="15" spans="1:13" s="119" customFormat="1" ht="40.5" customHeight="1" thickBot="1">
      <c r="A15" s="299" t="s">
        <v>20</v>
      </c>
      <c r="B15" s="129">
        <f>SUM(B13/B7)</f>
        <v>0.31771241379310344</v>
      </c>
      <c r="C15" s="129">
        <f t="shared" ref="C15:F15" si="3">SUM(C13/C7)</f>
        <v>0.32675940850795426</v>
      </c>
      <c r="D15" s="129">
        <f t="shared" si="3"/>
        <v>0.27854570239632659</v>
      </c>
      <c r="E15" s="129">
        <f t="shared" si="3"/>
        <v>0.27207837301587301</v>
      </c>
      <c r="F15" s="129" t="e">
        <f t="shared" si="3"/>
        <v>#DIV/0!</v>
      </c>
      <c r="G15" s="129">
        <f>SUM(G13/G7)</f>
        <v>0.29904257378693744</v>
      </c>
      <c r="H15" s="139"/>
      <c r="I15" s="131"/>
      <c r="J15" s="140"/>
      <c r="K15" s="131"/>
      <c r="L15" s="141"/>
      <c r="M15" s="118"/>
    </row>
    <row r="16" spans="1:13" s="119" customFormat="1" ht="40.5" customHeight="1" thickBot="1">
      <c r="A16" s="299" t="s">
        <v>68</v>
      </c>
      <c r="B16" s="308" t="str">
        <f>IF(B15&lt;=27%,"A",IF(B15&lt;=30%,"B",IF(B15&lt;32%,"C",IF(B15&gt;=32%,"F",))))</f>
        <v>C</v>
      </c>
      <c r="C16" s="308" t="str">
        <f t="shared" ref="C16:F16" si="4">IF(C15&lt;=27%,"A",IF(C15&lt;=30%,"B",IF(C15&lt;32%,"C",IF(C15&gt;=32%,"F",))))</f>
        <v>F</v>
      </c>
      <c r="D16" s="308" t="str">
        <f t="shared" si="4"/>
        <v>B</v>
      </c>
      <c r="E16" s="308" t="str">
        <f t="shared" si="4"/>
        <v>B</v>
      </c>
      <c r="F16" s="308" t="e">
        <f t="shared" si="4"/>
        <v>#DIV/0!</v>
      </c>
      <c r="G16" s="130" t="str">
        <f>IF(G15&lt;=27%,"A",IF(G15&lt;=30%,"B",IF(G15&lt;=32%,"C",IF(G15&gt;32%,"F",))))</f>
        <v>B</v>
      </c>
      <c r="H16" s="142"/>
      <c r="I16" s="131"/>
      <c r="J16" s="140"/>
      <c r="K16" s="131"/>
      <c r="L16" s="141"/>
      <c r="M16" s="118"/>
    </row>
    <row r="17" spans="1:13" s="119" customFormat="1" ht="40.5" customHeight="1" thickBot="1">
      <c r="A17" s="300"/>
      <c r="B17" s="254"/>
      <c r="C17" s="254"/>
      <c r="D17" s="254"/>
      <c r="E17" s="254"/>
      <c r="F17" s="310" t="s">
        <v>69</v>
      </c>
      <c r="G17" s="311">
        <f>LOOKUP(G16,J9:K12)</f>
        <v>30</v>
      </c>
      <c r="H17" s="124"/>
      <c r="I17" s="143"/>
      <c r="J17" s="124"/>
      <c r="K17" s="144"/>
      <c r="L17" s="118"/>
      <c r="M17" s="118"/>
    </row>
    <row r="18" spans="1:13" s="119" customFormat="1" ht="40.5" customHeight="1" thickBot="1">
      <c r="A18" s="299" t="s">
        <v>19</v>
      </c>
      <c r="B18" s="115">
        <v>2691.5</v>
      </c>
      <c r="C18" s="115">
        <v>3103.6</v>
      </c>
      <c r="D18" s="115">
        <v>2991.2</v>
      </c>
      <c r="E18" s="115">
        <v>3251</v>
      </c>
      <c r="F18" s="115"/>
      <c r="G18" s="116">
        <f>SUM(B18:F18)</f>
        <v>12037.3</v>
      </c>
      <c r="H18" s="136"/>
      <c r="I18" s="145"/>
      <c r="J18" s="117"/>
      <c r="K18" s="146"/>
      <c r="L18" s="118"/>
      <c r="M18" s="118"/>
    </row>
    <row r="19" spans="1:13" s="119" customFormat="1" ht="40.5" customHeight="1" thickBot="1">
      <c r="A19" s="299" t="s">
        <v>16</v>
      </c>
      <c r="B19" s="129">
        <f>SUM(B18/B7)</f>
        <v>0.18562068965517242</v>
      </c>
      <c r="C19" s="129">
        <f t="shared" ref="C19:F19" si="5">SUM(C18/C7)</f>
        <v>0.21750648258462402</v>
      </c>
      <c r="D19" s="129">
        <f t="shared" si="5"/>
        <v>0.21460754771129287</v>
      </c>
      <c r="E19" s="129">
        <f t="shared" si="5"/>
        <v>0.23037131519274376</v>
      </c>
      <c r="F19" s="129" t="e">
        <f t="shared" si="5"/>
        <v>#DIV/0!</v>
      </c>
      <c r="G19" s="129">
        <f>SUM(G18/G7)</f>
        <v>0.2118534293106179</v>
      </c>
      <c r="H19" s="124"/>
      <c r="I19" s="147"/>
      <c r="J19" s="124"/>
      <c r="K19" s="144"/>
      <c r="L19" s="118"/>
      <c r="M19" s="118"/>
    </row>
    <row r="20" spans="1:13" s="119" customFormat="1" ht="40.5" customHeight="1" thickBot="1">
      <c r="A20" s="299" t="s">
        <v>68</v>
      </c>
      <c r="B20" s="308" t="str">
        <f>IF(B19&lt;=20%,"A",IF(B19&lt;=23%,"B",IF(B19&lt;25%,"C",IF(B19&gt;=25%,"F",))))</f>
        <v>A</v>
      </c>
      <c r="C20" s="308" t="str">
        <f>IF(C19&lt;=20%,"A",IF(C19&lt;=23%,"B",IF(C19&lt;25%,"C",IF(C19&gt;=25%,"F",IF))))</f>
        <v>B</v>
      </c>
      <c r="D20" s="308" t="str">
        <f>IF(D19&lt;=20%,"A",IF(D19&lt;=23%,"B",IF(D19&lt;25%,"C",IF(D19&gt;=25%,"F",IF))))</f>
        <v>B</v>
      </c>
      <c r="E20" s="308" t="str">
        <f>IF(E19&lt;=20%,"A",IF(E19&lt;=23%,"B",IF(E19&lt;25%,"C",IF(E19&gt;=25%,"F",IF))))</f>
        <v>C</v>
      </c>
      <c r="F20" s="308" t="e">
        <f>IF(F19&lt;=20%,"A",IF(F19&lt;=23%,"B",IF(F19&lt;25%,"C",IF(F19&gt;=25%,"F",IF))))</f>
        <v>#DIV/0!</v>
      </c>
      <c r="G20" s="130" t="str">
        <f>IF(G19&lt;=20%,"A",IF(G19&lt;=23%,"B",IF(G19&lt;=25%,"C",IF(G19&gt;25%,"F",IF))))</f>
        <v>B</v>
      </c>
      <c r="H20" s="124"/>
      <c r="I20" s="143"/>
      <c r="J20" s="131"/>
      <c r="K20" s="144"/>
      <c r="L20" s="118"/>
      <c r="M20" s="118"/>
    </row>
    <row r="21" spans="1:13" s="119" customFormat="1" ht="40.5" customHeight="1" thickBot="1">
      <c r="A21" s="299"/>
      <c r="B21" s="309"/>
      <c r="C21" s="309"/>
      <c r="D21" s="310"/>
      <c r="E21" s="310"/>
      <c r="F21" s="310" t="s">
        <v>69</v>
      </c>
      <c r="G21" s="311">
        <f>LOOKUP(G20,J9:K12)</f>
        <v>30</v>
      </c>
      <c r="H21" s="124"/>
      <c r="I21" s="143"/>
      <c r="J21" s="131"/>
      <c r="K21" s="144"/>
      <c r="L21" s="118"/>
      <c r="M21" s="118"/>
    </row>
    <row r="22" spans="1:13" s="119" customFormat="1" ht="40.5" customHeight="1" thickBot="1">
      <c r="A22" s="301" t="s">
        <v>110</v>
      </c>
      <c r="B22" s="295">
        <v>0.56000000000000005</v>
      </c>
      <c r="C22" s="295">
        <v>0.56999999999999995</v>
      </c>
      <c r="D22" s="295">
        <v>0.56000000000000005</v>
      </c>
      <c r="E22" s="295">
        <v>0.56999999999999995</v>
      </c>
      <c r="F22" s="327"/>
      <c r="G22" s="312">
        <f>AVERAGE(B22:F22)</f>
        <v>0.56499999999999995</v>
      </c>
      <c r="H22" s="124"/>
      <c r="I22" s="143"/>
      <c r="J22" s="131"/>
      <c r="K22" s="144"/>
      <c r="L22" s="118"/>
      <c r="M22" s="118"/>
    </row>
    <row r="23" spans="1:13" s="119" customFormat="1" ht="40.5" customHeight="1" thickBot="1">
      <c r="A23" s="297" t="s">
        <v>111</v>
      </c>
      <c r="B23" s="295">
        <v>0.5</v>
      </c>
      <c r="C23" s="295">
        <v>0.23</v>
      </c>
      <c r="D23" s="295">
        <v>0.88</v>
      </c>
      <c r="E23" s="295">
        <v>-0.36</v>
      </c>
      <c r="F23" s="295"/>
      <c r="G23" s="352">
        <f>AVERAGE(B23:F23)</f>
        <v>0.3125</v>
      </c>
      <c r="H23" s="148"/>
      <c r="I23" s="136"/>
      <c r="J23" s="117"/>
      <c r="K23" s="117"/>
      <c r="L23" s="118"/>
      <c r="M23" s="118"/>
    </row>
    <row r="24" spans="1:13" s="127" customFormat="1" ht="40.5" customHeight="1" thickBot="1">
      <c r="A24" s="302" t="s">
        <v>22</v>
      </c>
      <c r="B24" s="313" t="str">
        <f t="shared" ref="B24:G24" si="6">IF(B23&lt;B22,"$-25",IF(B23&gt;=B22,"0",))</f>
        <v>$-25</v>
      </c>
      <c r="C24" s="313" t="str">
        <f t="shared" si="6"/>
        <v>$-25</v>
      </c>
      <c r="D24" s="313" t="str">
        <f t="shared" si="6"/>
        <v>0</v>
      </c>
      <c r="E24" s="313" t="str">
        <f t="shared" si="6"/>
        <v>$-25</v>
      </c>
      <c r="F24" s="313" t="str">
        <f t="shared" si="6"/>
        <v>0</v>
      </c>
      <c r="G24" s="313" t="str">
        <f t="shared" si="6"/>
        <v>$-25</v>
      </c>
      <c r="H24" s="149">
        <f>SUM(G12+G17+G21)</f>
        <v>80</v>
      </c>
      <c r="I24" s="150" t="s">
        <v>2</v>
      </c>
      <c r="J24" s="151">
        <f>SUM(H26*1.5)</f>
        <v>105.89999999999999</v>
      </c>
      <c r="K24" s="124"/>
      <c r="L24" s="126"/>
      <c r="M24" s="126"/>
    </row>
    <row r="25" spans="1:13" s="119" customFormat="1" ht="40.5" customHeight="1" thickBot="1">
      <c r="A25" s="303" t="s">
        <v>18</v>
      </c>
      <c r="B25" s="114">
        <v>0</v>
      </c>
      <c r="C25" s="115">
        <v>0</v>
      </c>
      <c r="D25" s="115">
        <v>0</v>
      </c>
      <c r="E25" s="115">
        <v>0</v>
      </c>
      <c r="F25" s="115"/>
      <c r="G25" s="307">
        <f>SUM(B25:F25)</f>
        <v>0</v>
      </c>
      <c r="H25" s="149">
        <f>SUM(G24+G26)</f>
        <v>-25</v>
      </c>
      <c r="I25" s="152" t="s">
        <v>3</v>
      </c>
      <c r="J25" s="153">
        <f>SUM(H26*1.25)</f>
        <v>88.25</v>
      </c>
      <c r="K25" s="117"/>
      <c r="L25" s="154"/>
      <c r="M25" s="118"/>
    </row>
    <row r="26" spans="1:13" s="127" customFormat="1" ht="40.5" customHeight="1" thickBot="1">
      <c r="A26" s="304" t="s">
        <v>22</v>
      </c>
      <c r="B26" s="307">
        <f>B25</f>
        <v>0</v>
      </c>
      <c r="C26" s="307">
        <f t="shared" ref="C26:F26" si="7">C25</f>
        <v>0</v>
      </c>
      <c r="D26" s="307">
        <f t="shared" si="7"/>
        <v>0</v>
      </c>
      <c r="E26" s="307">
        <f t="shared" si="7"/>
        <v>0</v>
      </c>
      <c r="F26" s="307">
        <f t="shared" si="7"/>
        <v>0</v>
      </c>
      <c r="G26" s="307">
        <f>G25</f>
        <v>0</v>
      </c>
      <c r="H26" s="155">
        <f>SUM(+H8+H24+H25)</f>
        <v>70.599999999999994</v>
      </c>
      <c r="I26" s="150" t="s">
        <v>4</v>
      </c>
      <c r="J26" s="249">
        <f>SUM(H26*1)</f>
        <v>70.599999999999994</v>
      </c>
      <c r="K26" s="140"/>
      <c r="L26" s="156"/>
      <c r="M26" s="126"/>
    </row>
    <row r="27" spans="1:13" s="119" customFormat="1" ht="40.5" customHeight="1" thickBot="1">
      <c r="A27" s="305"/>
      <c r="B27" s="157"/>
      <c r="C27" s="157"/>
      <c r="D27" s="157"/>
      <c r="E27" s="247"/>
      <c r="F27" s="248" t="s">
        <v>70</v>
      </c>
      <c r="G27" s="314">
        <f>LOOKUP(H9,I24:J26)</f>
        <v>88.25</v>
      </c>
      <c r="H27" s="124"/>
      <c r="I27" s="137"/>
      <c r="J27" s="158"/>
      <c r="K27" s="158"/>
      <c r="L27" s="159"/>
      <c r="M27" s="118"/>
    </row>
    <row r="28" spans="1:13" s="127" customFormat="1" ht="40.5" customHeight="1" thickBot="1">
      <c r="A28" s="306"/>
      <c r="B28" s="160"/>
      <c r="C28" s="160"/>
      <c r="D28" s="160"/>
      <c r="E28" s="160"/>
      <c r="F28" s="160"/>
      <c r="G28" s="160"/>
      <c r="H28" s="124"/>
      <c r="I28" s="140"/>
      <c r="J28" s="140"/>
      <c r="K28" s="158"/>
      <c r="L28" s="156"/>
      <c r="M28" s="126"/>
    </row>
    <row r="29" spans="1:13" s="119" customFormat="1" ht="40.5" customHeight="1" thickBot="1">
      <c r="A29" s="167" t="s">
        <v>71</v>
      </c>
      <c r="B29" s="161"/>
      <c r="C29" s="315">
        <f>SUM(G29*0.66)</f>
        <v>58.245000000000005</v>
      </c>
      <c r="D29" s="162"/>
      <c r="E29" s="162"/>
      <c r="F29" s="162"/>
      <c r="G29" s="163">
        <f>IF(E3="FAIL","$0.00",IF(G20="F","$0.00",IF(G16="F","$0.00",IF(E3="PASS",G27,))))</f>
        <v>88.25</v>
      </c>
      <c r="H29" s="124"/>
      <c r="I29" s="124"/>
      <c r="J29" s="124"/>
      <c r="K29" s="124"/>
      <c r="L29" s="118"/>
      <c r="M29" s="118"/>
    </row>
    <row r="30" spans="1:13" s="119" customFormat="1" ht="40.5" customHeight="1" thickBot="1">
      <c r="A30" s="167" t="s">
        <v>72</v>
      </c>
      <c r="B30" s="164"/>
      <c r="C30" s="316">
        <f>SUM(G29*0.33)</f>
        <v>29.122500000000002</v>
      </c>
      <c r="H30" s="124"/>
      <c r="I30" s="124"/>
      <c r="J30" s="124"/>
      <c r="K30" s="124"/>
      <c r="L30" s="118"/>
      <c r="M30" s="118"/>
    </row>
    <row r="31" spans="1:13">
      <c r="B31" s="34"/>
      <c r="C31" s="34"/>
    </row>
    <row r="32" spans="1:13">
      <c r="B32" s="34"/>
      <c r="C32" s="34"/>
    </row>
    <row r="33" spans="2:3">
      <c r="B33" s="34"/>
      <c r="C33" s="34"/>
    </row>
    <row r="34" spans="2:3">
      <c r="B34" s="34"/>
      <c r="C34" s="34"/>
    </row>
    <row r="35" spans="2:3">
      <c r="B35" s="95"/>
      <c r="C35" s="34"/>
    </row>
    <row r="36" spans="2:3">
      <c r="B36" s="34"/>
      <c r="C36" s="34"/>
    </row>
    <row r="37" spans="2:3">
      <c r="B37" s="34"/>
      <c r="C37" s="34"/>
    </row>
    <row r="38" spans="2:3">
      <c r="B38" s="34"/>
      <c r="C38" s="34"/>
    </row>
    <row r="39" spans="2:3">
      <c r="B39" s="34"/>
      <c r="C39" s="34"/>
    </row>
    <row r="40" spans="2:3">
      <c r="B40" s="34"/>
      <c r="C40" s="34"/>
    </row>
    <row r="41" spans="2:3">
      <c r="B41" s="34"/>
      <c r="C41" s="34"/>
    </row>
  </sheetData>
  <sheetProtection algorithmName="SHA-512" hashValue="Peg63N914yu1n5b9CztYb40bXCQaWwlGNjYIRphzOBaYNrB7fYZ9kCb5Bv3zODbpatmHWoFW7/4y0OHv0gx/eg==" saltValue="qQ0+q9ozudot6SlBK5svfw==" spinCount="100000" sheet="1" objects="1" scenarios="1"/>
  <conditionalFormatting sqref="H24">
    <cfRule type="cellIs" dxfId="464" priority="67" stopIfTrue="1" operator="lessThan">
      <formula>0</formula>
    </cfRule>
  </conditionalFormatting>
  <conditionalFormatting sqref="I24:I26">
    <cfRule type="cellIs" dxfId="463" priority="58" stopIfTrue="1" operator="lessThan">
      <formula>0</formula>
    </cfRule>
  </conditionalFormatting>
  <conditionalFormatting sqref="E3">
    <cfRule type="containsText" dxfId="462" priority="56" stopIfTrue="1" operator="containsText" text="PASS">
      <formula>NOT(ISERROR(SEARCH("PASS",E3)))</formula>
    </cfRule>
    <cfRule type="containsText" dxfId="461" priority="57" stopIfTrue="1" operator="containsText" text="FAIL">
      <formula>NOT(ISERROR(SEARCH("FAIL",E3)))</formula>
    </cfRule>
  </conditionalFormatting>
  <conditionalFormatting sqref="B19:G19">
    <cfRule type="cellIs" dxfId="460" priority="45" stopIfTrue="1" operator="greaterThanOrEqual">
      <formula>0.27</formula>
    </cfRule>
    <cfRule type="cellIs" dxfId="459" priority="46" stopIfTrue="1" operator="between">
      <formula>0.23</formula>
      <formula>0.25</formula>
    </cfRule>
    <cfRule type="cellIs" dxfId="458" priority="47" stopIfTrue="1" operator="lessThan">
      <formula>0.2</formula>
    </cfRule>
    <cfRule type="cellIs" dxfId="457" priority="55" stopIfTrue="1" operator="between">
      <formula>0.2</formula>
      <formula>0.2299</formula>
    </cfRule>
  </conditionalFormatting>
  <conditionalFormatting sqref="B15:G15">
    <cfRule type="cellIs" dxfId="456" priority="54" stopIfTrue="1" operator="between">
      <formula>0.3</formula>
      <formula>0.32</formula>
    </cfRule>
  </conditionalFormatting>
  <conditionalFormatting sqref="B10:G10">
    <cfRule type="cellIs" dxfId="455" priority="51" stopIfTrue="1" operator="greaterThan">
      <formula>0.1</formula>
    </cfRule>
    <cfRule type="cellIs" dxfId="454" priority="52" stopIfTrue="1" operator="greaterThan">
      <formula>0.07</formula>
    </cfRule>
    <cfRule type="cellIs" dxfId="453" priority="53" stopIfTrue="1" operator="greaterThan">
      <formula>0.02</formula>
    </cfRule>
  </conditionalFormatting>
  <conditionalFormatting sqref="B15:G15">
    <cfRule type="cellIs" dxfId="452" priority="48" stopIfTrue="1" operator="greaterThanOrEqual">
      <formula>0.32</formula>
    </cfRule>
    <cfRule type="cellIs" dxfId="451" priority="49" stopIfTrue="1" operator="between">
      <formula>0.27</formula>
      <formula>0.3</formula>
    </cfRule>
    <cfRule type="cellIs" dxfId="450" priority="50" stopIfTrue="1" operator="lessThanOrEqual">
      <formula>0.27</formula>
    </cfRule>
  </conditionalFormatting>
  <conditionalFormatting sqref="B26:G26 B28:G28 B27:F27">
    <cfRule type="cellIs" dxfId="449" priority="43" stopIfTrue="1" operator="lessThan">
      <formula>0</formula>
    </cfRule>
  </conditionalFormatting>
  <conditionalFormatting sqref="B10:G10">
    <cfRule type="cellIs" dxfId="448" priority="42" stopIfTrue="1" operator="lessThanOrEqual">
      <formula>0.02</formula>
    </cfRule>
  </conditionalFormatting>
  <conditionalFormatting sqref="B11:G12">
    <cfRule type="cellIs" dxfId="447" priority="38" stopIfTrue="1" operator="equal">
      <formula>"F"</formula>
    </cfRule>
    <cfRule type="cellIs" dxfId="446" priority="39" stopIfTrue="1" operator="equal">
      <formula>"C"</formula>
    </cfRule>
    <cfRule type="cellIs" dxfId="445" priority="40" stopIfTrue="1" operator="equal">
      <formula>"B"</formula>
    </cfRule>
    <cfRule type="cellIs" dxfId="444" priority="41" stopIfTrue="1" operator="equal">
      <formula>"A"</formula>
    </cfRule>
  </conditionalFormatting>
  <conditionalFormatting sqref="B16:G16 F17">
    <cfRule type="cellIs" dxfId="443" priority="34" stopIfTrue="1" operator="equal">
      <formula>"F"</formula>
    </cfRule>
    <cfRule type="cellIs" dxfId="442" priority="35" stopIfTrue="1" operator="equal">
      <formula>"C"</formula>
    </cfRule>
    <cfRule type="cellIs" dxfId="441" priority="36" stopIfTrue="1" operator="equal">
      <formula>"B"</formula>
    </cfRule>
    <cfRule type="cellIs" dxfId="440" priority="37" stopIfTrue="1" operator="equal">
      <formula>"A"</formula>
    </cfRule>
  </conditionalFormatting>
  <conditionalFormatting sqref="B20:G20 B21:F21">
    <cfRule type="cellIs" dxfId="439" priority="30" stopIfTrue="1" operator="equal">
      <formula>"F"</formula>
    </cfRule>
    <cfRule type="cellIs" dxfId="438" priority="31" stopIfTrue="1" operator="equal">
      <formula>"C"</formula>
    </cfRule>
    <cfRule type="cellIs" dxfId="437" priority="32" stopIfTrue="1" operator="equal">
      <formula>"B"</formula>
    </cfRule>
    <cfRule type="cellIs" dxfId="436" priority="33" stopIfTrue="1" operator="equal">
      <formula>"A"</formula>
    </cfRule>
  </conditionalFormatting>
  <conditionalFormatting sqref="G17">
    <cfRule type="cellIs" dxfId="435" priority="26" stopIfTrue="1" operator="equal">
      <formula>"F"</formula>
    </cfRule>
    <cfRule type="cellIs" dxfId="434" priority="27" stopIfTrue="1" operator="equal">
      <formula>"C"</formula>
    </cfRule>
    <cfRule type="cellIs" dxfId="433" priority="28" stopIfTrue="1" operator="equal">
      <formula>"B"</formula>
    </cfRule>
    <cfRule type="cellIs" dxfId="432" priority="29" stopIfTrue="1" operator="equal">
      <formula>"A"</formula>
    </cfRule>
  </conditionalFormatting>
  <conditionalFormatting sqref="G21">
    <cfRule type="cellIs" dxfId="431" priority="22" stopIfTrue="1" operator="equal">
      <formula>"F"</formula>
    </cfRule>
    <cfRule type="cellIs" dxfId="430" priority="23" stopIfTrue="1" operator="equal">
      <formula>"C"</formula>
    </cfRule>
    <cfRule type="cellIs" dxfId="429" priority="24" stopIfTrue="1" operator="equal">
      <formula>"B"</formula>
    </cfRule>
    <cfRule type="cellIs" dxfId="428" priority="25" stopIfTrue="1" operator="equal">
      <formula>"A"</formula>
    </cfRule>
  </conditionalFormatting>
  <conditionalFormatting sqref="B24:G24">
    <cfRule type="cellIs" dxfId="427" priority="17" stopIfTrue="1" operator="greaterThan">
      <formula>10</formula>
    </cfRule>
  </conditionalFormatting>
  <conditionalFormatting sqref="B22:F22">
    <cfRule type="cellIs" dxfId="426" priority="13" stopIfTrue="1" operator="equal">
      <formula>"F"</formula>
    </cfRule>
    <cfRule type="cellIs" dxfId="425" priority="14" stopIfTrue="1" operator="equal">
      <formula>"C"</formula>
    </cfRule>
    <cfRule type="cellIs" dxfId="424" priority="15" stopIfTrue="1" operator="equal">
      <formula>"B"</formula>
    </cfRule>
    <cfRule type="cellIs" dxfId="423" priority="16" stopIfTrue="1" operator="equal">
      <formula>"A"</formula>
    </cfRule>
  </conditionalFormatting>
  <conditionalFormatting sqref="G22">
    <cfRule type="cellIs" dxfId="422" priority="9" stopIfTrue="1" operator="equal">
      <formula>"F"</formula>
    </cfRule>
    <cfRule type="cellIs" dxfId="421" priority="10" stopIfTrue="1" operator="equal">
      <formula>"C"</formula>
    </cfRule>
    <cfRule type="cellIs" dxfId="420" priority="11" stopIfTrue="1" operator="equal">
      <formula>"B"</formula>
    </cfRule>
    <cfRule type="cellIs" dxfId="419" priority="12" stopIfTrue="1" operator="equal">
      <formula>"A"</formula>
    </cfRule>
  </conditionalFormatting>
  <conditionalFormatting sqref="B23:F23">
    <cfRule type="cellIs" dxfId="418" priority="7" operator="lessThanOrEqual">
      <formula>$B$22</formula>
    </cfRule>
    <cfRule type="cellIs" dxfId="417" priority="8" operator="greaterThanOrEqual">
      <formula>$B$22</formula>
    </cfRule>
  </conditionalFormatting>
  <conditionalFormatting sqref="G23">
    <cfRule type="cellIs" dxfId="416" priority="1" operator="lessThanOrEqual">
      <formula>$B$22</formula>
    </cfRule>
    <cfRule type="cellIs" dxfId="415" priority="2" operator="greaterThanOrEqual">
      <formula>$B$22</formula>
    </cfRule>
  </conditionalFormatting>
  <pageMargins left="0.7" right="0.7" top="0.75" bottom="0.75" header="0.3" footer="0.3"/>
  <pageSetup scale="59" orientation="portrait" horizontalDpi="0" verticalDpi="0" r:id="rId1"/>
  <colBreaks count="1" manualBreakCount="1">
    <brk id="7" max="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21</vt:i4>
      </vt:variant>
    </vt:vector>
  </HeadingPairs>
  <TitlesOfParts>
    <vt:vector size="40" baseType="lpstr">
      <vt:lpstr>GUIDELINES</vt:lpstr>
      <vt:lpstr>Last Year Sales</vt:lpstr>
      <vt:lpstr>JAN</vt:lpstr>
      <vt:lpstr>FEB</vt:lpstr>
      <vt:lpstr>MAR</vt:lpstr>
      <vt:lpstr>Q 1</vt:lpstr>
      <vt:lpstr>APR</vt:lpstr>
      <vt:lpstr>MAY</vt:lpstr>
      <vt:lpstr>JUN</vt:lpstr>
      <vt:lpstr>Q 2</vt:lpstr>
      <vt:lpstr>JUL</vt:lpstr>
      <vt:lpstr>AUG</vt:lpstr>
      <vt:lpstr>SEP</vt:lpstr>
      <vt:lpstr>Q 3</vt:lpstr>
      <vt:lpstr>OCT</vt:lpstr>
      <vt:lpstr>NOV</vt:lpstr>
      <vt:lpstr>DEC</vt:lpstr>
      <vt:lpstr>Q 4</vt:lpstr>
      <vt:lpstr>TOTAL YTD</vt:lpstr>
      <vt:lpstr>deta</vt:lpstr>
      <vt:lpstr>Gread</vt:lpstr>
      <vt:lpstr>APR!Print_Area</vt:lpstr>
      <vt:lpstr>AUG!Print_Area</vt:lpstr>
      <vt:lpstr>DEC!Print_Area</vt:lpstr>
      <vt:lpstr>FEB!Print_Area</vt:lpstr>
      <vt:lpstr>GUIDELINES!Print_Area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'Q 1'!Print_Area</vt:lpstr>
      <vt:lpstr>'Q 2'!Print_Area</vt:lpstr>
      <vt:lpstr>'Q 3'!Print_Area</vt:lpstr>
      <vt:lpstr>'Q 4'!Print_Area</vt:lpstr>
      <vt:lpstr>SEP!Print_Area</vt:lpstr>
      <vt:lpstr>'TOTAL YTD'!Print_Area</vt:lpstr>
      <vt:lpstr>Sales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2019-07-30T16:07:38Z</cp:lastPrinted>
  <dcterms:created xsi:type="dcterms:W3CDTF">2015-11-22T21:10:21Z</dcterms:created>
  <dcterms:modified xsi:type="dcterms:W3CDTF">2020-07-08T12:38:40Z</dcterms:modified>
</cp:coreProperties>
</file>