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FBD71053-9D7F-4032-A584-D7BE9D1A95DA}" xr6:coauthVersionLast="47" xr6:coauthVersionMax="47" xr10:uidLastSave="{00000000-0000-0000-0000-000000000000}"/>
  <bookViews>
    <workbookView xWindow="1800" yWindow="744" windowWidth="17280" windowHeight="8964" activeTab="2" xr2:uid="{00000000-000D-0000-FFFF-FFFF00000000}"/>
  </bookViews>
  <sheets>
    <sheet name="Не мое" sheetId="1" r:id="rId1"/>
    <sheet name="Мое" sheetId="2" r:id="rId2"/>
    <sheet name="Лурье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3" l="1"/>
  <c r="H10" i="3" s="1"/>
  <c r="B5" i="3"/>
  <c r="B17" i="3"/>
  <c r="B21" i="3" s="1"/>
  <c r="B33" i="3" s="1"/>
  <c r="H1" i="3" s="1"/>
  <c r="H2" i="3" s="1"/>
  <c r="B17" i="2"/>
  <c r="B16" i="2"/>
  <c r="B31" i="3"/>
  <c r="B24" i="3"/>
  <c r="B16" i="3"/>
  <c r="B22" i="3" s="1"/>
  <c r="B9" i="3"/>
  <c r="B10" i="3" s="1"/>
  <c r="B11" i="3" s="1"/>
  <c r="B6" i="3"/>
  <c r="B4" i="3"/>
  <c r="B3" i="3"/>
  <c r="B3" i="2"/>
  <c r="B31" i="2"/>
  <c r="B24" i="2"/>
  <c r="B25" i="2" s="1"/>
  <c r="B22" i="2"/>
  <c r="B9" i="2"/>
  <c r="B10" i="2" s="1"/>
  <c r="B11" i="2" s="1"/>
  <c r="H6" i="2"/>
  <c r="H10" i="2" s="1"/>
  <c r="B6" i="2"/>
  <c r="B5" i="2"/>
  <c r="B4" i="2"/>
  <c r="B25" i="3" l="1"/>
  <c r="H17" i="3"/>
  <c r="B27" i="3"/>
  <c r="B12" i="3"/>
  <c r="B28" i="3"/>
  <c r="H7" i="3"/>
  <c r="H9" i="3"/>
  <c r="H8" i="3" s="1"/>
  <c r="B21" i="2"/>
  <c r="B33" i="2" s="1"/>
  <c r="H1" i="2" s="1"/>
  <c r="H2" i="2" s="1"/>
  <c r="H9" i="2"/>
  <c r="H8" i="2" s="1"/>
  <c r="B27" i="2"/>
  <c r="B12" i="2"/>
  <c r="H7" i="2"/>
  <c r="B24" i="1"/>
  <c r="B16" i="1"/>
  <c r="H12" i="3" l="1"/>
  <c r="B29" i="3"/>
  <c r="H4" i="3"/>
  <c r="H3" i="3" s="1"/>
  <c r="H18" i="3"/>
  <c r="H19" i="3" s="1"/>
  <c r="H20" i="3" s="1"/>
  <c r="H15" i="3" s="1"/>
  <c r="B13" i="3"/>
  <c r="B14" i="3"/>
  <c r="B28" i="2"/>
  <c r="B29" i="2" s="1"/>
  <c r="H18" i="2" s="1"/>
  <c r="H19" i="2" s="1"/>
  <c r="H20" i="2" s="1"/>
  <c r="H15" i="2" s="1"/>
  <c r="H4" i="2"/>
  <c r="B13" i="2"/>
  <c r="B14" i="2"/>
  <c r="H6" i="1"/>
  <c r="H10" i="1" s="1"/>
  <c r="B25" i="1"/>
  <c r="B31" i="1"/>
  <c r="B17" i="1"/>
  <c r="H16" i="3" l="1"/>
  <c r="H24" i="3" s="1"/>
  <c r="H12" i="2"/>
  <c r="H16" i="2"/>
  <c r="H24" i="2" s="1"/>
  <c r="H3" i="2"/>
  <c r="B4" i="1"/>
  <c r="B18" i="1"/>
  <c r="B22" i="1"/>
  <c r="B9" i="1"/>
  <c r="B10" i="1" s="1"/>
  <c r="B3" i="1"/>
  <c r="B6" i="1"/>
  <c r="B5" i="1"/>
  <c r="H14" i="3" l="1"/>
  <c r="G22" i="3" s="1"/>
  <c r="H14" i="2"/>
  <c r="G22" i="2" s="1"/>
  <c r="B11" i="1"/>
  <c r="H9" i="1"/>
  <c r="H8" i="1" s="1"/>
  <c r="H7" i="1"/>
  <c r="B21" i="1"/>
  <c r="B33" i="1" s="1"/>
  <c r="H1" i="1" l="1"/>
  <c r="H2" i="1" s="1"/>
  <c r="H4" i="1" s="1"/>
  <c r="B12" i="1"/>
  <c r="B14" i="1" s="1"/>
  <c r="B27" i="1"/>
  <c r="B28" i="1"/>
  <c r="B13" i="1" l="1"/>
  <c r="H3" i="1"/>
  <c r="B29" i="1"/>
  <c r="H12" i="1"/>
  <c r="H18" i="1"/>
  <c r="H19" i="1" s="1"/>
  <c r="H16" i="1"/>
  <c r="H24" i="1" s="1"/>
  <c r="H20" i="1" l="1"/>
  <c r="H15" i="1" s="1"/>
  <c r="H14" i="1" s="1"/>
  <c r="G22" i="1" s="1"/>
</calcChain>
</file>

<file path=xl/sharedStrings.xml><?xml version="1.0" encoding="utf-8"?>
<sst xmlns="http://schemas.openxmlformats.org/spreadsheetml/2006/main" count="280" uniqueCount="62">
  <si>
    <t xml:space="preserve">Uн = </t>
  </si>
  <si>
    <t>Iн=</t>
  </si>
  <si>
    <t>A</t>
  </si>
  <si>
    <t>B</t>
  </si>
  <si>
    <t>Ikmax =</t>
  </si>
  <si>
    <t xml:space="preserve">Uкэ min vt1 = </t>
  </si>
  <si>
    <t xml:space="preserve">U э vt1 = </t>
  </si>
  <si>
    <t xml:space="preserve">dU = </t>
  </si>
  <si>
    <t xml:space="preserve">dU пульс = </t>
  </si>
  <si>
    <t>Uн + Uкэ min vt1 + dU =</t>
  </si>
  <si>
    <t xml:space="preserve">U кэ ном vt1 = </t>
  </si>
  <si>
    <t xml:space="preserve">увелич сетевого напр = </t>
  </si>
  <si>
    <t xml:space="preserve">перепад напр = </t>
  </si>
  <si>
    <t xml:space="preserve">P vt1 = </t>
  </si>
  <si>
    <t xml:space="preserve">запас на &gt; </t>
  </si>
  <si>
    <t xml:space="preserve">U k vt2 = </t>
  </si>
  <si>
    <t xml:space="preserve">I b vt1 = </t>
  </si>
  <si>
    <t xml:space="preserve">b = </t>
  </si>
  <si>
    <t xml:space="preserve">I st = </t>
  </si>
  <si>
    <t>U лыжи =</t>
  </si>
  <si>
    <t>I k vt2 =</t>
  </si>
  <si>
    <t xml:space="preserve">U ke vt2 = </t>
  </si>
  <si>
    <t xml:space="preserve">U st = </t>
  </si>
  <si>
    <t>dt =</t>
  </si>
  <si>
    <t>C1 =</t>
  </si>
  <si>
    <t>Ф</t>
  </si>
  <si>
    <t>U r1 =</t>
  </si>
  <si>
    <t xml:space="preserve">I r1 = </t>
  </si>
  <si>
    <t>Bt</t>
  </si>
  <si>
    <t>(A) из данных стабилитрона</t>
  </si>
  <si>
    <t xml:space="preserve">R1 = </t>
  </si>
  <si>
    <t>Om</t>
  </si>
  <si>
    <t xml:space="preserve">U r2+r3 = </t>
  </si>
  <si>
    <t xml:space="preserve">U лыжи кремний = </t>
  </si>
  <si>
    <t>I b vt2 =</t>
  </si>
  <si>
    <t xml:space="preserve">B vt2 = </t>
  </si>
  <si>
    <t xml:space="preserve">ток делителя = </t>
  </si>
  <si>
    <t xml:space="preserve">коэф тока делителя = </t>
  </si>
  <si>
    <t>R2 + R3 =</t>
  </si>
  <si>
    <t>R2 =</t>
  </si>
  <si>
    <t>R3 =</t>
  </si>
  <si>
    <t>sec</t>
  </si>
  <si>
    <t>koef 1,2…1,5</t>
  </si>
  <si>
    <t xml:space="preserve">P d = </t>
  </si>
  <si>
    <t xml:space="preserve">U d = </t>
  </si>
  <si>
    <t xml:space="preserve">U obr max = </t>
  </si>
  <si>
    <t>U tr =</t>
  </si>
  <si>
    <t xml:space="preserve">P tr nom = </t>
  </si>
  <si>
    <t xml:space="preserve">n (KPD) = </t>
  </si>
  <si>
    <t xml:space="preserve">koef tr = </t>
  </si>
  <si>
    <t xml:space="preserve">Koc = </t>
  </si>
  <si>
    <t xml:space="preserve">Ko = </t>
  </si>
  <si>
    <t xml:space="preserve">Kob = </t>
  </si>
  <si>
    <t xml:space="preserve">r st = </t>
  </si>
  <si>
    <t xml:space="preserve">R n = </t>
  </si>
  <si>
    <t>d I R1 =</t>
  </si>
  <si>
    <t>d I n =</t>
  </si>
  <si>
    <t xml:space="preserve">d U n = </t>
  </si>
  <si>
    <t>Пульсации</t>
  </si>
  <si>
    <t>мA</t>
  </si>
  <si>
    <t>(мA) из данных стабилитрона</t>
  </si>
  <si>
    <t>Контроль dU выпр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</si>
</sst>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4" borderId="1" xfId="0" applyFill="1" applyBorder="1"/>
    <xf numFmtId="0" fontId="0" fillId="5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5" borderId="6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3" borderId="5" xfId="0" applyFill="1" applyBorder="1"/>
    <xf numFmtId="0" fontId="0" fillId="5" borderId="5" xfId="0" applyFill="1" applyBorder="1"/>
    <xf numFmtId="0" fontId="0" fillId="4" borderId="5" xfId="0" applyFill="1" applyBorder="1"/>
    <xf numFmtId="0" fontId="0" fillId="2" borderId="6" xfId="0" applyFill="1" applyBorder="1"/>
    <xf numFmtId="0" fontId="0" fillId="0" borderId="10" xfId="0" applyBorder="1"/>
    <xf numFmtId="0" fontId="0" fillId="0" borderId="11" xfId="0" applyBorder="1"/>
    <xf numFmtId="0" fontId="0" fillId="5" borderId="11" xfId="0" applyFill="1" applyBorder="1"/>
    <xf numFmtId="0" fontId="0" fillId="3" borderId="11" xfId="0" applyFill="1" applyBorder="1"/>
    <xf numFmtId="0" fontId="0" fillId="2" borderId="11" xfId="0" applyFill="1" applyBorder="1"/>
    <xf numFmtId="0" fontId="0" fillId="0" borderId="12" xfId="0" applyBorder="1"/>
    <xf numFmtId="0" fontId="0" fillId="5" borderId="4" xfId="0" applyFill="1" applyBorder="1"/>
    <xf numFmtId="0" fontId="1" fillId="0" borderId="1" xfId="0" applyFont="1" applyBorder="1"/>
    <xf numFmtId="0" fontId="0" fillId="6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1" xfId="0" applyFill="1" applyBorder="1"/>
    <xf numFmtId="0" fontId="0" fillId="2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7" borderId="11" xfId="0" applyFill="1" applyBorder="1"/>
    <xf numFmtId="0" fontId="2" fillId="0" borderId="11" xfId="0" applyFont="1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zoomScaleNormal="100" workbookViewId="0">
      <selection activeCell="B33" sqref="B33"/>
    </sheetView>
  </sheetViews>
  <sheetFormatPr defaultRowHeight="14.4" x14ac:dyDescent="0.3"/>
  <cols>
    <col min="1" max="1" width="24.109375" customWidth="1"/>
    <col min="2" max="2" width="25.6640625" customWidth="1"/>
    <col min="3" max="3" width="18.109375" customWidth="1"/>
    <col min="4" max="4" width="13.33203125" customWidth="1"/>
    <col min="5" max="5" width="20.88671875" customWidth="1"/>
    <col min="7" max="7" width="19.5546875" customWidth="1"/>
    <col min="8" max="8" width="10.5546875" customWidth="1"/>
  </cols>
  <sheetData>
    <row r="1" spans="1:9" x14ac:dyDescent="0.3">
      <c r="A1" s="16" t="s">
        <v>0</v>
      </c>
      <c r="B1" s="17">
        <v>6</v>
      </c>
      <c r="C1" s="17" t="s">
        <v>3</v>
      </c>
      <c r="D1" s="8"/>
      <c r="E1" s="6" t="s">
        <v>37</v>
      </c>
      <c r="F1" s="29">
        <v>15</v>
      </c>
      <c r="G1" s="23" t="s">
        <v>36</v>
      </c>
      <c r="H1" s="7">
        <f>F1 * B33</f>
        <v>4.2499999999999998E-4</v>
      </c>
      <c r="I1" s="8" t="s">
        <v>2</v>
      </c>
    </row>
    <row r="2" spans="1:9" x14ac:dyDescent="0.3">
      <c r="A2" s="18" t="s">
        <v>1</v>
      </c>
      <c r="B2" s="1">
        <v>0.6</v>
      </c>
      <c r="C2" s="1" t="s">
        <v>2</v>
      </c>
      <c r="D2" s="10"/>
      <c r="E2" s="9"/>
      <c r="F2" s="10"/>
      <c r="G2" s="24" t="s">
        <v>38</v>
      </c>
      <c r="H2" s="3">
        <f>B1/H1</f>
        <v>14117.64705882353</v>
      </c>
      <c r="I2" s="10" t="s">
        <v>31</v>
      </c>
    </row>
    <row r="3" spans="1:9" x14ac:dyDescent="0.3">
      <c r="A3" s="18" t="s">
        <v>8</v>
      </c>
      <c r="B3" s="1">
        <f>10*10^-3</f>
        <v>0.01</v>
      </c>
      <c r="C3" s="1" t="s">
        <v>3</v>
      </c>
      <c r="D3" s="10"/>
      <c r="E3" s="9"/>
      <c r="F3" s="10"/>
      <c r="G3" s="24" t="s">
        <v>39</v>
      </c>
      <c r="H3" s="3">
        <f>H2-H4</f>
        <v>470.58823529411711</v>
      </c>
      <c r="I3" s="10" t="s">
        <v>31</v>
      </c>
    </row>
    <row r="4" spans="1:9" x14ac:dyDescent="0.3">
      <c r="A4" s="18" t="s">
        <v>54</v>
      </c>
      <c r="B4" s="3">
        <f>B1/B2</f>
        <v>10</v>
      </c>
      <c r="C4" s="3"/>
      <c r="D4" s="10"/>
      <c r="E4" s="9"/>
      <c r="F4" s="10"/>
      <c r="G4" s="24" t="s">
        <v>40</v>
      </c>
      <c r="H4" s="3">
        <f>B31/B1*H2</f>
        <v>13647.058823529413</v>
      </c>
      <c r="I4" s="10" t="s">
        <v>31</v>
      </c>
    </row>
    <row r="5" spans="1:9" x14ac:dyDescent="0.3">
      <c r="A5" s="19" t="s">
        <v>4</v>
      </c>
      <c r="B5" s="3">
        <f>B2*1.5</f>
        <v>0.89999999999999991</v>
      </c>
      <c r="C5" s="3" t="s">
        <v>2</v>
      </c>
      <c r="D5" s="10"/>
      <c r="E5" s="9"/>
      <c r="F5" s="10"/>
      <c r="G5" s="25" t="s">
        <v>42</v>
      </c>
      <c r="H5" s="4">
        <v>1.5</v>
      </c>
      <c r="I5" s="11"/>
    </row>
    <row r="6" spans="1:9" x14ac:dyDescent="0.3">
      <c r="A6" s="19" t="s">
        <v>6</v>
      </c>
      <c r="B6" s="3">
        <f>B1</f>
        <v>6</v>
      </c>
      <c r="C6" s="3" t="s">
        <v>3</v>
      </c>
      <c r="D6" s="10"/>
      <c r="E6" s="9"/>
      <c r="F6" s="10"/>
      <c r="G6" s="26" t="s">
        <v>44</v>
      </c>
      <c r="H6" s="2">
        <f>H5*B30</f>
        <v>1.0499999999999998</v>
      </c>
      <c r="I6" s="12" t="s">
        <v>3</v>
      </c>
    </row>
    <row r="7" spans="1:9" x14ac:dyDescent="0.3">
      <c r="A7" s="18" t="s">
        <v>5</v>
      </c>
      <c r="B7" s="1">
        <v>1.5</v>
      </c>
      <c r="C7" s="1" t="s">
        <v>3</v>
      </c>
      <c r="D7" s="10"/>
      <c r="E7" s="9"/>
      <c r="F7" s="10"/>
      <c r="G7" s="24" t="s">
        <v>43</v>
      </c>
      <c r="H7" s="3">
        <f>0.5*H6*B2</f>
        <v>0.31499999999999995</v>
      </c>
      <c r="I7" s="10" t="s">
        <v>28</v>
      </c>
    </row>
    <row r="8" spans="1:9" x14ac:dyDescent="0.3">
      <c r="A8" s="20" t="s">
        <v>7</v>
      </c>
      <c r="B8" s="4">
        <v>0.1</v>
      </c>
      <c r="C8" s="1" t="s">
        <v>3</v>
      </c>
      <c r="D8" s="10"/>
      <c r="E8" s="9"/>
      <c r="F8" s="10"/>
      <c r="G8" s="24" t="s">
        <v>45</v>
      </c>
      <c r="H8" s="3">
        <f xml:space="preserve"> H9-2*H6</f>
        <v>8.6399999999999988</v>
      </c>
      <c r="I8" s="10" t="s">
        <v>3</v>
      </c>
    </row>
    <row r="9" spans="1:9" x14ac:dyDescent="0.3">
      <c r="A9" s="9" t="s">
        <v>9</v>
      </c>
      <c r="B9" s="3">
        <f>B1+B8+B7</f>
        <v>7.6</v>
      </c>
      <c r="C9" s="3" t="s">
        <v>3</v>
      </c>
      <c r="D9" s="10"/>
      <c r="E9" s="9"/>
      <c r="F9" s="10"/>
      <c r="G9" s="24" t="s">
        <v>46</v>
      </c>
      <c r="H9" s="3">
        <f>(B10+2)</f>
        <v>10.739999999999998</v>
      </c>
      <c r="I9" s="10" t="s">
        <v>3</v>
      </c>
    </row>
    <row r="10" spans="1:9" x14ac:dyDescent="0.3">
      <c r="A10" s="9" t="s">
        <v>10</v>
      </c>
      <c r="B10" s="3">
        <f>B9*1.15</f>
        <v>8.7399999999999984</v>
      </c>
      <c r="C10" s="3" t="s">
        <v>3</v>
      </c>
      <c r="D10" s="10"/>
      <c r="E10" s="9"/>
      <c r="F10" s="10"/>
      <c r="G10" s="24" t="s">
        <v>47</v>
      </c>
      <c r="H10" s="3">
        <f>1.2*B2*(B1+2*H6)</f>
        <v>5.8319999999999999</v>
      </c>
      <c r="I10" s="10" t="s">
        <v>28</v>
      </c>
    </row>
    <row r="11" spans="1:9" x14ac:dyDescent="0.3">
      <c r="A11" s="9" t="s">
        <v>11</v>
      </c>
      <c r="B11" s="3">
        <f>B10*1.1</f>
        <v>9.613999999999999</v>
      </c>
      <c r="C11" s="3" t="s">
        <v>3</v>
      </c>
      <c r="D11" s="10"/>
      <c r="E11" s="9"/>
      <c r="F11" s="10"/>
      <c r="G11" s="27" t="s">
        <v>49</v>
      </c>
      <c r="H11" s="1">
        <v>0.72</v>
      </c>
      <c r="I11" s="10"/>
    </row>
    <row r="12" spans="1:9" x14ac:dyDescent="0.3">
      <c r="A12" s="9" t="s">
        <v>12</v>
      </c>
      <c r="B12" s="3">
        <f>B11-B1</f>
        <v>3.613999999999999</v>
      </c>
      <c r="C12" s="3" t="s">
        <v>3</v>
      </c>
      <c r="D12" s="10"/>
      <c r="E12" s="9"/>
      <c r="F12" s="10"/>
      <c r="G12" s="24" t="s">
        <v>48</v>
      </c>
      <c r="H12" s="3">
        <f>(B2*B1*H11)/(B1*B2 + B2*B12 + B27*B28 + B19*B2)*100</f>
        <v>29.299851560983502</v>
      </c>
      <c r="I12" s="10"/>
    </row>
    <row r="13" spans="1:9" x14ac:dyDescent="0.3">
      <c r="A13" s="9" t="s">
        <v>13</v>
      </c>
      <c r="B13" s="3">
        <f>B12*B2</f>
        <v>2.1683999999999992</v>
      </c>
      <c r="C13" s="3" t="s">
        <v>28</v>
      </c>
      <c r="D13" s="10"/>
      <c r="E13" s="9"/>
      <c r="F13" s="10"/>
      <c r="G13" s="24"/>
      <c r="H13" s="3"/>
      <c r="I13" s="10"/>
    </row>
    <row r="14" spans="1:9" x14ac:dyDescent="0.3">
      <c r="A14" s="9" t="s">
        <v>14</v>
      </c>
      <c r="B14" s="3">
        <f>B12*B5</f>
        <v>3.2525999999999988</v>
      </c>
      <c r="C14" s="3" t="s">
        <v>28</v>
      </c>
      <c r="D14" s="10"/>
      <c r="E14" s="9"/>
      <c r="F14" s="10"/>
      <c r="G14" s="24" t="s">
        <v>50</v>
      </c>
      <c r="H14" s="3">
        <f>H15/(1+H16)</f>
        <v>0.17877830645718951</v>
      </c>
      <c r="I14" s="10"/>
    </row>
    <row r="15" spans="1:9" x14ac:dyDescent="0.3">
      <c r="A15" s="21" t="s">
        <v>17</v>
      </c>
      <c r="B15" s="5">
        <v>250</v>
      </c>
      <c r="C15" s="1" t="s">
        <v>19</v>
      </c>
      <c r="D15" s="22">
        <v>0.5</v>
      </c>
      <c r="E15" s="9" t="s">
        <v>3</v>
      </c>
      <c r="F15" s="10"/>
      <c r="G15" s="24" t="s">
        <v>51</v>
      </c>
      <c r="H15" s="3">
        <f>H20/B8</f>
        <v>4.675016056518948</v>
      </c>
      <c r="I15" s="10"/>
    </row>
    <row r="16" spans="1:9" x14ac:dyDescent="0.3">
      <c r="A16" s="9" t="s">
        <v>15</v>
      </c>
      <c r="B16" s="3">
        <f>B1+D15</f>
        <v>6.5</v>
      </c>
      <c r="C16" s="3" t="s">
        <v>3</v>
      </c>
      <c r="D16" s="10"/>
      <c r="E16" s="9"/>
      <c r="F16" s="10"/>
      <c r="G16" s="24" t="s">
        <v>52</v>
      </c>
      <c r="H16" s="3">
        <f>((H4/H2)/B20)*((B29*B4*(1+B15)/(B29+B4*(1+B15))))</f>
        <v>25.14979495646153</v>
      </c>
      <c r="I16" s="10"/>
    </row>
    <row r="17" spans="1:9" x14ac:dyDescent="0.3">
      <c r="A17" s="9" t="s">
        <v>16</v>
      </c>
      <c r="B17" s="3">
        <f>B2/B15</f>
        <v>2.3999999999999998E-3</v>
      </c>
      <c r="C17" s="3" t="s">
        <v>2</v>
      </c>
      <c r="D17" s="10"/>
      <c r="E17" s="9"/>
      <c r="F17" s="10"/>
      <c r="G17" s="24"/>
      <c r="H17" s="3"/>
      <c r="I17" s="10"/>
    </row>
    <row r="18" spans="1:9" x14ac:dyDescent="0.3">
      <c r="A18" s="18" t="s">
        <v>18</v>
      </c>
      <c r="B18" s="1">
        <f>1 * 10^-3</f>
        <v>1E-3</v>
      </c>
      <c r="C18" s="1" t="s">
        <v>29</v>
      </c>
      <c r="D18" s="22"/>
      <c r="E18" s="9"/>
      <c r="F18" s="10"/>
      <c r="G18" s="24" t="s">
        <v>55</v>
      </c>
      <c r="H18" s="3">
        <f>B8/B29</f>
        <v>1.862556197816314E-4</v>
      </c>
      <c r="I18" s="10" t="s">
        <v>2</v>
      </c>
    </row>
    <row r="19" spans="1:9" x14ac:dyDescent="0.3">
      <c r="A19" s="18" t="s">
        <v>22</v>
      </c>
      <c r="B19" s="1">
        <v>5.0999999999999996</v>
      </c>
      <c r="C19" s="1" t="s">
        <v>3</v>
      </c>
      <c r="D19" s="10"/>
      <c r="E19" s="9"/>
      <c r="F19" s="10"/>
      <c r="G19" s="24" t="s">
        <v>56</v>
      </c>
      <c r="H19" s="3">
        <f>H18*(1+B15)</f>
        <v>4.6750160565189477E-2</v>
      </c>
      <c r="I19" s="10" t="s">
        <v>2</v>
      </c>
    </row>
    <row r="20" spans="1:9" x14ac:dyDescent="0.3">
      <c r="A20" s="18" t="s">
        <v>53</v>
      </c>
      <c r="B20" s="1">
        <v>17</v>
      </c>
      <c r="C20" s="1" t="s">
        <v>31</v>
      </c>
      <c r="D20" s="10"/>
      <c r="E20" s="9"/>
      <c r="F20" s="10"/>
      <c r="G20" s="24" t="s">
        <v>57</v>
      </c>
      <c r="H20" s="3">
        <f>H19*B4</f>
        <v>0.4675016056518948</v>
      </c>
      <c r="I20" s="10" t="s">
        <v>3</v>
      </c>
    </row>
    <row r="21" spans="1:9" x14ac:dyDescent="0.3">
      <c r="A21" s="9" t="s">
        <v>20</v>
      </c>
      <c r="B21" s="3">
        <f>B18+B17</f>
        <v>3.3999999999999998E-3</v>
      </c>
      <c r="C21" s="3" t="s">
        <v>2</v>
      </c>
      <c r="D21" s="10"/>
      <c r="E21" s="9"/>
      <c r="F21" s="10"/>
      <c r="G21" s="24"/>
      <c r="H21" s="3"/>
      <c r="I21" s="10"/>
    </row>
    <row r="22" spans="1:9" x14ac:dyDescent="0.3">
      <c r="A22" s="9" t="s">
        <v>21</v>
      </c>
      <c r="B22" s="3">
        <f>B16-B19</f>
        <v>1.4000000000000004</v>
      </c>
      <c r="C22" s="3" t="s">
        <v>3</v>
      </c>
      <c r="D22" s="10"/>
      <c r="E22" s="9"/>
      <c r="F22" s="10"/>
      <c r="G22" s="24">
        <f>H14*B8 * 1000</f>
        <v>17.877830645718952</v>
      </c>
      <c r="H22" s="3"/>
      <c r="I22" s="10"/>
    </row>
    <row r="23" spans="1:9" x14ac:dyDescent="0.3">
      <c r="A23" s="9"/>
      <c r="B23" s="3"/>
      <c r="C23" s="3"/>
      <c r="D23" s="10"/>
      <c r="E23" s="9"/>
      <c r="F23" s="10"/>
      <c r="G23" s="24"/>
      <c r="H23" s="3"/>
      <c r="I23" s="10"/>
    </row>
    <row r="24" spans="1:9" x14ac:dyDescent="0.3">
      <c r="A24" s="20" t="s">
        <v>23</v>
      </c>
      <c r="B24" s="4">
        <f>7 * 10^-3</f>
        <v>7.0000000000000001E-3</v>
      </c>
      <c r="C24" s="3" t="s">
        <v>41</v>
      </c>
      <c r="D24" s="10"/>
      <c r="E24" s="9"/>
      <c r="F24" s="10"/>
      <c r="G24" s="24" t="s">
        <v>58</v>
      </c>
      <c r="H24" s="3">
        <f>B8/H16</f>
        <v>3.9761755582149519E-3</v>
      </c>
      <c r="I24" s="10"/>
    </row>
    <row r="25" spans="1:9" x14ac:dyDescent="0.3">
      <c r="A25" s="9" t="s">
        <v>24</v>
      </c>
      <c r="B25" s="3">
        <f>B2*B24/B8</f>
        <v>4.1999999999999996E-2</v>
      </c>
      <c r="C25" s="3" t="s">
        <v>25</v>
      </c>
      <c r="D25" s="10"/>
      <c r="E25" s="9"/>
      <c r="F25" s="10"/>
      <c r="G25" s="24"/>
      <c r="H25" s="3"/>
      <c r="I25" s="10"/>
    </row>
    <row r="26" spans="1:9" x14ac:dyDescent="0.3">
      <c r="A26" s="9"/>
      <c r="B26" s="3"/>
      <c r="C26" s="3"/>
      <c r="D26" s="10"/>
      <c r="E26" s="9"/>
      <c r="F26" s="10"/>
      <c r="G26" s="24"/>
      <c r="H26" s="3"/>
      <c r="I26" s="10"/>
    </row>
    <row r="27" spans="1:9" x14ac:dyDescent="0.3">
      <c r="A27" s="9" t="s">
        <v>26</v>
      </c>
      <c r="B27" s="3">
        <f>B11-B16</f>
        <v>3.113999999999999</v>
      </c>
      <c r="C27" s="3" t="s">
        <v>3</v>
      </c>
      <c r="D27" s="10"/>
      <c r="E27" s="9"/>
      <c r="F27" s="10"/>
      <c r="G27" s="24"/>
      <c r="H27" s="3"/>
      <c r="I27" s="10"/>
    </row>
    <row r="28" spans="1:9" x14ac:dyDescent="0.3">
      <c r="A28" s="9" t="s">
        <v>27</v>
      </c>
      <c r="B28" s="3">
        <f>B17+B21</f>
        <v>5.7999999999999996E-3</v>
      </c>
      <c r="C28" s="3" t="s">
        <v>2</v>
      </c>
      <c r="D28" s="10"/>
      <c r="E28" s="9"/>
      <c r="F28" s="10"/>
      <c r="G28" s="24"/>
      <c r="H28" s="3"/>
      <c r="I28" s="10"/>
    </row>
    <row r="29" spans="1:9" x14ac:dyDescent="0.3">
      <c r="A29" s="9" t="s">
        <v>30</v>
      </c>
      <c r="B29" s="3">
        <f>B27/B28</f>
        <v>536.89655172413779</v>
      </c>
      <c r="C29" s="3" t="s">
        <v>31</v>
      </c>
      <c r="D29" s="10"/>
      <c r="E29" s="9"/>
      <c r="F29" s="10"/>
      <c r="G29" s="24"/>
      <c r="H29" s="3"/>
      <c r="I29" s="10"/>
    </row>
    <row r="30" spans="1:9" x14ac:dyDescent="0.3">
      <c r="A30" s="18" t="s">
        <v>33</v>
      </c>
      <c r="B30" s="1">
        <v>0.7</v>
      </c>
      <c r="C30" s="1" t="s">
        <v>3</v>
      </c>
      <c r="D30" s="10"/>
      <c r="E30" s="9"/>
      <c r="F30" s="10"/>
      <c r="G30" s="24"/>
      <c r="H30" s="3"/>
      <c r="I30" s="10"/>
    </row>
    <row r="31" spans="1:9" x14ac:dyDescent="0.3">
      <c r="A31" s="9" t="s">
        <v>32</v>
      </c>
      <c r="B31" s="3">
        <f>B19+B30</f>
        <v>5.8</v>
      </c>
      <c r="C31" s="30" t="s">
        <v>3</v>
      </c>
      <c r="D31" s="10"/>
      <c r="E31" s="9"/>
      <c r="F31" s="10"/>
      <c r="G31" s="24"/>
      <c r="H31" s="3"/>
      <c r="I31" s="10"/>
    </row>
    <row r="32" spans="1:9" x14ac:dyDescent="0.3">
      <c r="A32" s="20" t="s">
        <v>35</v>
      </c>
      <c r="B32" s="4">
        <v>120</v>
      </c>
      <c r="C32" s="3"/>
      <c r="D32" s="10"/>
      <c r="E32" s="9"/>
      <c r="F32" s="10"/>
      <c r="G32" s="24"/>
      <c r="H32" s="3"/>
      <c r="I32" s="10"/>
    </row>
    <row r="33" spans="1:9" ht="15" thickBot="1" x14ac:dyDescent="0.35">
      <c r="A33" s="13" t="s">
        <v>34</v>
      </c>
      <c r="B33" s="14">
        <f>(B21/B32)</f>
        <v>2.8333333333333332E-5</v>
      </c>
      <c r="C33" s="14" t="s">
        <v>2</v>
      </c>
      <c r="D33" s="15"/>
      <c r="E33" s="13"/>
      <c r="F33" s="15"/>
      <c r="G33" s="28"/>
      <c r="H33" s="14"/>
      <c r="I33" s="15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B610-08EE-4F11-AC62-9D6A754B5711}">
  <dimension ref="A1:I33"/>
  <sheetViews>
    <sheetView topLeftCell="A13" zoomScale="160" zoomScaleNormal="160" workbookViewId="0">
      <selection activeCell="B30" sqref="B30"/>
    </sheetView>
  </sheetViews>
  <sheetFormatPr defaultRowHeight="14.4" x14ac:dyDescent="0.3"/>
  <cols>
    <col min="1" max="1" width="24.109375" customWidth="1"/>
    <col min="2" max="2" width="25.6640625" customWidth="1"/>
    <col min="3" max="3" width="18.109375" customWidth="1"/>
    <col min="4" max="4" width="13.33203125" customWidth="1"/>
    <col min="5" max="5" width="20.88671875" customWidth="1"/>
    <col min="7" max="7" width="19.5546875" customWidth="1"/>
    <col min="8" max="8" width="10.5546875" customWidth="1"/>
  </cols>
  <sheetData>
    <row r="1" spans="1:9" x14ac:dyDescent="0.3">
      <c r="A1" s="31" t="s">
        <v>0</v>
      </c>
      <c r="B1" s="32">
        <v>11</v>
      </c>
      <c r="C1" s="32" t="s">
        <v>3</v>
      </c>
      <c r="D1" s="8"/>
      <c r="E1" s="6" t="s">
        <v>37</v>
      </c>
      <c r="F1" s="29">
        <v>15</v>
      </c>
      <c r="G1" s="23" t="s">
        <v>36</v>
      </c>
      <c r="H1" s="7">
        <f>F1 * B33</f>
        <v>1.75</v>
      </c>
      <c r="I1" s="8" t="s">
        <v>2</v>
      </c>
    </row>
    <row r="2" spans="1:9" x14ac:dyDescent="0.3">
      <c r="A2" s="33" t="s">
        <v>1</v>
      </c>
      <c r="B2" s="34">
        <v>1.5</v>
      </c>
      <c r="C2" s="34" t="s">
        <v>2</v>
      </c>
      <c r="D2" s="10"/>
      <c r="E2" s="9"/>
      <c r="F2" s="10"/>
      <c r="G2" s="24" t="s">
        <v>38</v>
      </c>
      <c r="H2" s="3">
        <f>B1/H1</f>
        <v>6.2857142857142856</v>
      </c>
      <c r="I2" s="10" t="s">
        <v>31</v>
      </c>
    </row>
    <row r="3" spans="1:9" x14ac:dyDescent="0.3">
      <c r="A3" s="33" t="s">
        <v>8</v>
      </c>
      <c r="B3" s="34">
        <f>20*10^-3</f>
        <v>0.02</v>
      </c>
      <c r="C3" s="34" t="s">
        <v>3</v>
      </c>
      <c r="D3" s="10"/>
      <c r="E3" s="9"/>
      <c r="F3" s="10"/>
      <c r="G3" s="24" t="s">
        <v>39</v>
      </c>
      <c r="H3" s="3">
        <f>H2-H4</f>
        <v>2.9714285714285715</v>
      </c>
      <c r="I3" s="10" t="s">
        <v>31</v>
      </c>
    </row>
    <row r="4" spans="1:9" x14ac:dyDescent="0.3">
      <c r="A4" s="18" t="s">
        <v>54</v>
      </c>
      <c r="B4" s="3">
        <f>B1/B2</f>
        <v>7.333333333333333</v>
      </c>
      <c r="C4" s="3"/>
      <c r="D4" s="10"/>
      <c r="E4" s="9"/>
      <c r="F4" s="10"/>
      <c r="G4" s="24" t="s">
        <v>40</v>
      </c>
      <c r="H4" s="3">
        <f>B31/B1*H2</f>
        <v>3.3142857142857141</v>
      </c>
      <c r="I4" s="10" t="s">
        <v>31</v>
      </c>
    </row>
    <row r="5" spans="1:9" x14ac:dyDescent="0.3">
      <c r="A5" s="19" t="s">
        <v>4</v>
      </c>
      <c r="B5" s="3">
        <f>B2*1.5</f>
        <v>2.25</v>
      </c>
      <c r="C5" s="3" t="s">
        <v>2</v>
      </c>
      <c r="D5" s="10"/>
      <c r="E5" s="9"/>
      <c r="F5" s="10"/>
      <c r="G5" s="25" t="s">
        <v>42</v>
      </c>
      <c r="H5" s="4">
        <v>1.5</v>
      </c>
      <c r="I5" s="11"/>
    </row>
    <row r="6" spans="1:9" x14ac:dyDescent="0.3">
      <c r="A6" s="19" t="s">
        <v>6</v>
      </c>
      <c r="B6" s="3">
        <f>B1</f>
        <v>11</v>
      </c>
      <c r="C6" s="3" t="s">
        <v>3</v>
      </c>
      <c r="D6" s="10"/>
      <c r="E6" s="9"/>
      <c r="F6" s="10"/>
      <c r="G6" s="26" t="s">
        <v>44</v>
      </c>
      <c r="H6" s="2">
        <f>H5*B30</f>
        <v>1.0499999999999998</v>
      </c>
      <c r="I6" s="12" t="s">
        <v>3</v>
      </c>
    </row>
    <row r="7" spans="1:9" x14ac:dyDescent="0.3">
      <c r="A7" s="18" t="s">
        <v>5</v>
      </c>
      <c r="B7" s="1">
        <v>1.5</v>
      </c>
      <c r="C7" s="1" t="s">
        <v>3</v>
      </c>
      <c r="D7" s="10"/>
      <c r="E7" s="9"/>
      <c r="F7" s="10"/>
      <c r="G7" s="24" t="s">
        <v>43</v>
      </c>
      <c r="H7" s="3">
        <f>0.5*H6*B2</f>
        <v>0.78749999999999987</v>
      </c>
      <c r="I7" s="10" t="s">
        <v>28</v>
      </c>
    </row>
    <row r="8" spans="1:9" x14ac:dyDescent="0.3">
      <c r="A8" s="20" t="s">
        <v>7</v>
      </c>
      <c r="B8" s="4">
        <v>0.5</v>
      </c>
      <c r="C8" s="1" t="s">
        <v>3</v>
      </c>
      <c r="D8" s="10"/>
      <c r="E8" s="9"/>
      <c r="F8" s="10"/>
      <c r="G8" s="24" t="s">
        <v>45</v>
      </c>
      <c r="H8" s="3">
        <f xml:space="preserve"> H9-2*H6</f>
        <v>14.85</v>
      </c>
      <c r="I8" s="10" t="s">
        <v>3</v>
      </c>
    </row>
    <row r="9" spans="1:9" x14ac:dyDescent="0.3">
      <c r="A9" s="9" t="s">
        <v>9</v>
      </c>
      <c r="B9" s="3">
        <f>B1+B8+B7</f>
        <v>13</v>
      </c>
      <c r="C9" s="3" t="s">
        <v>3</v>
      </c>
      <c r="D9" s="10"/>
      <c r="E9" s="9"/>
      <c r="F9" s="10"/>
      <c r="G9" s="24" t="s">
        <v>46</v>
      </c>
      <c r="H9" s="3">
        <f>(B10+2)</f>
        <v>16.95</v>
      </c>
      <c r="I9" s="10" t="s">
        <v>3</v>
      </c>
    </row>
    <row r="10" spans="1:9" x14ac:dyDescent="0.3">
      <c r="A10" s="9" t="s">
        <v>10</v>
      </c>
      <c r="B10" s="3">
        <f>B9*1.15</f>
        <v>14.95</v>
      </c>
      <c r="C10" s="3" t="s">
        <v>3</v>
      </c>
      <c r="D10" s="10"/>
      <c r="E10" s="9"/>
      <c r="F10" s="10"/>
      <c r="G10" s="24" t="s">
        <v>47</v>
      </c>
      <c r="H10" s="3">
        <f>1.2*B2*(B1+2*H6)</f>
        <v>23.58</v>
      </c>
      <c r="I10" s="10" t="s">
        <v>28</v>
      </c>
    </row>
    <row r="11" spans="1:9" x14ac:dyDescent="0.3">
      <c r="A11" s="9" t="s">
        <v>11</v>
      </c>
      <c r="B11" s="3">
        <f>B10 +B9*0.1</f>
        <v>16.25</v>
      </c>
      <c r="C11" s="3" t="s">
        <v>3</v>
      </c>
      <c r="D11" s="10"/>
      <c r="E11" s="9"/>
      <c r="F11" s="10"/>
      <c r="G11" s="27" t="s">
        <v>49</v>
      </c>
      <c r="H11" s="1">
        <v>0.72</v>
      </c>
      <c r="I11" s="10"/>
    </row>
    <row r="12" spans="1:9" x14ac:dyDescent="0.3">
      <c r="A12" s="9" t="s">
        <v>12</v>
      </c>
      <c r="B12" s="3">
        <f>B11-B1</f>
        <v>5.25</v>
      </c>
      <c r="C12" s="3" t="s">
        <v>3</v>
      </c>
      <c r="D12" s="10"/>
      <c r="E12" s="9"/>
      <c r="F12" s="10"/>
      <c r="G12" s="24" t="s">
        <v>48</v>
      </c>
      <c r="H12" s="3">
        <f>(B2*B1*H11)/(B1*B2 + B2*B12 + B27*B28 + B19*B2)*100</f>
        <v>12.668621700879765</v>
      </c>
      <c r="I12" s="10"/>
    </row>
    <row r="13" spans="1:9" x14ac:dyDescent="0.3">
      <c r="A13" s="9" t="s">
        <v>13</v>
      </c>
      <c r="B13" s="3">
        <f>B12*B2</f>
        <v>7.875</v>
      </c>
      <c r="C13" s="3" t="s">
        <v>28</v>
      </c>
      <c r="D13" s="10"/>
      <c r="E13" s="9"/>
      <c r="F13" s="10"/>
      <c r="G13" s="24"/>
      <c r="H13" s="3"/>
      <c r="I13" s="10"/>
    </row>
    <row r="14" spans="1:9" x14ac:dyDescent="0.3">
      <c r="A14" s="9" t="s">
        <v>14</v>
      </c>
      <c r="B14" s="3">
        <f>B12*B5</f>
        <v>11.8125</v>
      </c>
      <c r="C14" s="3" t="s">
        <v>28</v>
      </c>
      <c r="D14" s="10"/>
      <c r="E14" s="9"/>
      <c r="F14" s="10"/>
      <c r="G14" s="24" t="s">
        <v>50</v>
      </c>
      <c r="H14" s="3">
        <f>H15/(1+H16)</f>
        <v>4981.1746579214341</v>
      </c>
      <c r="I14" s="10"/>
    </row>
    <row r="15" spans="1:9" x14ac:dyDescent="0.3">
      <c r="A15" s="21" t="s">
        <v>17</v>
      </c>
      <c r="B15" s="5">
        <v>250</v>
      </c>
      <c r="C15" s="1" t="s">
        <v>19</v>
      </c>
      <c r="D15" s="22">
        <v>0.5</v>
      </c>
      <c r="E15" s="9" t="s">
        <v>3</v>
      </c>
      <c r="F15" s="10"/>
      <c r="G15" s="24" t="s">
        <v>51</v>
      </c>
      <c r="H15" s="3">
        <f>H20/B8</f>
        <v>5037.6140350877185</v>
      </c>
      <c r="I15" s="10"/>
    </row>
    <row r="16" spans="1:9" x14ac:dyDescent="0.3">
      <c r="A16" s="9" t="s">
        <v>15</v>
      </c>
      <c r="B16" s="3">
        <f>B1+D15</f>
        <v>11.5</v>
      </c>
      <c r="C16" s="3" t="s">
        <v>3</v>
      </c>
      <c r="D16" s="10"/>
      <c r="E16" s="9"/>
      <c r="F16" s="10"/>
      <c r="G16" s="24" t="s">
        <v>52</v>
      </c>
      <c r="H16" s="3">
        <f>((H4/H2)/B20)*((B29*B4*(1+B15)/(B29+B4*(1+B15))))</f>
        <v>1.133053567526084E-2</v>
      </c>
      <c r="I16" s="10"/>
    </row>
    <row r="17" spans="1:9" x14ac:dyDescent="0.3">
      <c r="A17" s="9" t="s">
        <v>16</v>
      </c>
      <c r="B17" s="3">
        <f>B2*1000/B15</f>
        <v>6</v>
      </c>
      <c r="C17" s="3" t="s">
        <v>59</v>
      </c>
      <c r="D17" s="10"/>
      <c r="E17" s="9"/>
      <c r="F17" s="10"/>
      <c r="G17" s="24"/>
      <c r="H17" s="3"/>
      <c r="I17" s="10"/>
    </row>
    <row r="18" spans="1:9" x14ac:dyDescent="0.3">
      <c r="A18" s="18" t="s">
        <v>18</v>
      </c>
      <c r="B18" s="1">
        <v>1</v>
      </c>
      <c r="C18" s="1" t="s">
        <v>60</v>
      </c>
      <c r="D18" s="22"/>
      <c r="E18" s="9"/>
      <c r="F18" s="10"/>
      <c r="G18" s="24" t="s">
        <v>55</v>
      </c>
      <c r="H18" s="3">
        <f>B8/B29</f>
        <v>1.368421052631579</v>
      </c>
      <c r="I18" s="10" t="s">
        <v>2</v>
      </c>
    </row>
    <row r="19" spans="1:9" x14ac:dyDescent="0.3">
      <c r="A19" s="18" t="s">
        <v>22</v>
      </c>
      <c r="B19" s="1">
        <v>5.0999999999999996</v>
      </c>
      <c r="C19" s="1" t="s">
        <v>3</v>
      </c>
      <c r="D19" s="10"/>
      <c r="E19" s="9"/>
      <c r="F19" s="10"/>
      <c r="G19" s="24" t="s">
        <v>56</v>
      </c>
      <c r="H19" s="3">
        <f>H18*(1+B15)</f>
        <v>343.4736842105263</v>
      </c>
      <c r="I19" s="10" t="s">
        <v>2</v>
      </c>
    </row>
    <row r="20" spans="1:9" x14ac:dyDescent="0.3">
      <c r="A20" s="18" t="s">
        <v>53</v>
      </c>
      <c r="B20" s="1">
        <v>17</v>
      </c>
      <c r="C20" s="1" t="s">
        <v>31</v>
      </c>
      <c r="D20" s="10"/>
      <c r="E20" s="9"/>
      <c r="F20" s="10"/>
      <c r="G20" s="24" t="s">
        <v>57</v>
      </c>
      <c r="H20" s="3">
        <f>H19*B4</f>
        <v>2518.8070175438593</v>
      </c>
      <c r="I20" s="10" t="s">
        <v>3</v>
      </c>
    </row>
    <row r="21" spans="1:9" x14ac:dyDescent="0.3">
      <c r="A21" s="9" t="s">
        <v>20</v>
      </c>
      <c r="B21" s="3">
        <f>B18+B17</f>
        <v>7</v>
      </c>
      <c r="C21" s="3" t="s">
        <v>59</v>
      </c>
      <c r="D21" s="10"/>
      <c r="E21" s="9"/>
      <c r="F21" s="10"/>
      <c r="G21" s="24"/>
      <c r="H21" s="3"/>
      <c r="I21" s="10"/>
    </row>
    <row r="22" spans="1:9" x14ac:dyDescent="0.3">
      <c r="A22" s="9" t="s">
        <v>21</v>
      </c>
      <c r="B22" s="3">
        <f>B16-B19</f>
        <v>6.4</v>
      </c>
      <c r="C22" s="3" t="s">
        <v>3</v>
      </c>
      <c r="D22" s="10"/>
      <c r="E22" s="9"/>
      <c r="F22" s="10"/>
      <c r="G22" s="24">
        <f>H14*B8 * 1000</f>
        <v>2490587.3289607172</v>
      </c>
      <c r="H22" s="3"/>
      <c r="I22" s="10"/>
    </row>
    <row r="23" spans="1:9" x14ac:dyDescent="0.3">
      <c r="A23" s="9"/>
      <c r="B23" s="3"/>
      <c r="C23" s="3"/>
      <c r="D23" s="10"/>
      <c r="E23" s="9"/>
      <c r="F23" s="10"/>
      <c r="G23" s="24"/>
      <c r="H23" s="3"/>
      <c r="I23" s="10"/>
    </row>
    <row r="24" spans="1:9" x14ac:dyDescent="0.3">
      <c r="A24" s="20" t="s">
        <v>23</v>
      </c>
      <c r="B24" s="4">
        <f>7 * 10^-3</f>
        <v>7.0000000000000001E-3</v>
      </c>
      <c r="C24" s="3" t="s">
        <v>41</v>
      </c>
      <c r="D24" s="10"/>
      <c r="E24" s="9"/>
      <c r="F24" s="10"/>
      <c r="G24" s="24" t="s">
        <v>58</v>
      </c>
      <c r="H24" s="3">
        <f>B8/H16</f>
        <v>44.128540285319701</v>
      </c>
      <c r="I24" s="10"/>
    </row>
    <row r="25" spans="1:9" x14ac:dyDescent="0.3">
      <c r="A25" s="9" t="s">
        <v>24</v>
      </c>
      <c r="B25" s="3">
        <f>B2*B24/B8</f>
        <v>2.1000000000000001E-2</v>
      </c>
      <c r="C25" s="3" t="s">
        <v>25</v>
      </c>
      <c r="D25" s="10"/>
      <c r="E25" s="9"/>
      <c r="F25" s="10"/>
      <c r="G25" s="24"/>
      <c r="H25" s="3"/>
      <c r="I25" s="10"/>
    </row>
    <row r="26" spans="1:9" x14ac:dyDescent="0.3">
      <c r="A26" s="9"/>
      <c r="B26" s="3"/>
      <c r="C26" s="3"/>
      <c r="D26" s="10"/>
      <c r="E26" s="9"/>
      <c r="F26" s="10"/>
      <c r="G26" s="24"/>
      <c r="H26" s="3"/>
      <c r="I26" s="10"/>
    </row>
    <row r="27" spans="1:9" x14ac:dyDescent="0.3">
      <c r="A27" s="9" t="s">
        <v>26</v>
      </c>
      <c r="B27" s="3">
        <f>B11-B16</f>
        <v>4.75</v>
      </c>
      <c r="C27" s="3" t="s">
        <v>3</v>
      </c>
      <c r="D27" s="10"/>
      <c r="E27" s="9"/>
      <c r="F27" s="10"/>
      <c r="G27" s="24"/>
      <c r="H27" s="3"/>
      <c r="I27" s="10"/>
    </row>
    <row r="28" spans="1:9" x14ac:dyDescent="0.3">
      <c r="A28" s="9" t="s">
        <v>27</v>
      </c>
      <c r="B28" s="3">
        <f>B17+B21</f>
        <v>13</v>
      </c>
      <c r="C28" s="3" t="s">
        <v>59</v>
      </c>
      <c r="D28" s="10"/>
      <c r="E28" s="9"/>
      <c r="F28" s="10"/>
      <c r="G28" s="24"/>
      <c r="H28" s="3"/>
      <c r="I28" s="10"/>
    </row>
    <row r="29" spans="1:9" x14ac:dyDescent="0.3">
      <c r="A29" s="9" t="s">
        <v>30</v>
      </c>
      <c r="B29" s="3">
        <f>B27/B28</f>
        <v>0.36538461538461536</v>
      </c>
      <c r="C29" s="3" t="s">
        <v>31</v>
      </c>
      <c r="D29" s="10"/>
      <c r="E29" s="9"/>
      <c r="F29" s="10"/>
      <c r="G29" s="24"/>
      <c r="H29" s="3"/>
      <c r="I29" s="10"/>
    </row>
    <row r="30" spans="1:9" x14ac:dyDescent="0.3">
      <c r="A30" s="18" t="s">
        <v>33</v>
      </c>
      <c r="B30" s="1">
        <v>0.7</v>
      </c>
      <c r="C30" s="1" t="s">
        <v>3</v>
      </c>
      <c r="D30" s="10"/>
      <c r="E30" s="9"/>
      <c r="F30" s="10"/>
      <c r="G30" s="24"/>
      <c r="H30" s="3"/>
      <c r="I30" s="10"/>
    </row>
    <row r="31" spans="1:9" x14ac:dyDescent="0.3">
      <c r="A31" s="9" t="s">
        <v>32</v>
      </c>
      <c r="B31" s="3">
        <f>B19+B30</f>
        <v>5.8</v>
      </c>
      <c r="C31" s="30" t="s">
        <v>3</v>
      </c>
      <c r="D31" s="10"/>
      <c r="E31" s="9"/>
      <c r="F31" s="10"/>
      <c r="G31" s="24"/>
      <c r="H31" s="3"/>
      <c r="I31" s="10"/>
    </row>
    <row r="32" spans="1:9" x14ac:dyDescent="0.3">
      <c r="A32" s="20" t="s">
        <v>35</v>
      </c>
      <c r="B32" s="4">
        <v>60</v>
      </c>
      <c r="C32" s="3"/>
      <c r="D32" s="10"/>
      <c r="E32" s="9"/>
      <c r="F32" s="10"/>
      <c r="G32" s="24"/>
      <c r="H32" s="3"/>
      <c r="I32" s="10"/>
    </row>
    <row r="33" spans="1:9" ht="15" thickBot="1" x14ac:dyDescent="0.35">
      <c r="A33" s="13" t="s">
        <v>34</v>
      </c>
      <c r="B33" s="14">
        <f>(B21/B32)</f>
        <v>0.11666666666666667</v>
      </c>
      <c r="C33" s="14" t="s">
        <v>2</v>
      </c>
      <c r="D33" s="15"/>
      <c r="E33" s="13"/>
      <c r="F33" s="15"/>
      <c r="G33" s="28"/>
      <c r="H33" s="14"/>
      <c r="I33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ADD0-25D6-4804-A06C-92AFCF3FA1E7}">
  <dimension ref="A1:I33"/>
  <sheetViews>
    <sheetView tabSelected="1" zoomScale="85" zoomScaleNormal="85" workbookViewId="0">
      <selection activeCell="C4" sqref="C4"/>
    </sheetView>
  </sheetViews>
  <sheetFormatPr defaultRowHeight="14.4" x14ac:dyDescent="0.3"/>
  <cols>
    <col min="1" max="1" width="24.109375" customWidth="1"/>
    <col min="2" max="2" width="22.5546875" customWidth="1"/>
    <col min="3" max="3" width="15" bestFit="1" customWidth="1"/>
    <col min="4" max="4" width="4" bestFit="1" customWidth="1"/>
    <col min="5" max="5" width="10.6640625" customWidth="1"/>
    <col min="6" max="6" width="3" bestFit="1" customWidth="1"/>
    <col min="7" max="7" width="19.5546875" customWidth="1"/>
    <col min="8" max="8" width="10.5546875" customWidth="1"/>
  </cols>
  <sheetData>
    <row r="1" spans="1:9" ht="28.8" x14ac:dyDescent="0.3">
      <c r="A1" s="31" t="s">
        <v>0</v>
      </c>
      <c r="B1" s="32">
        <v>10</v>
      </c>
      <c r="C1" s="32" t="s">
        <v>3</v>
      </c>
      <c r="D1" s="8"/>
      <c r="E1" s="36" t="s">
        <v>37</v>
      </c>
      <c r="F1" s="29">
        <v>15</v>
      </c>
      <c r="G1" s="23" t="s">
        <v>36</v>
      </c>
      <c r="H1" s="7">
        <f>F1 * B33 + 0.05</f>
        <v>1.8</v>
      </c>
      <c r="I1" s="8" t="s">
        <v>2</v>
      </c>
    </row>
    <row r="2" spans="1:9" x14ac:dyDescent="0.3">
      <c r="A2" s="33" t="s">
        <v>1</v>
      </c>
      <c r="B2" s="34">
        <v>1.5</v>
      </c>
      <c r="C2" s="34" t="s">
        <v>2</v>
      </c>
      <c r="D2" s="10"/>
      <c r="E2" s="9"/>
      <c r="F2" s="10"/>
      <c r="G2" s="24" t="s">
        <v>38</v>
      </c>
      <c r="H2" s="3">
        <f>B1/H1</f>
        <v>5.5555555555555554</v>
      </c>
      <c r="I2" s="10" t="s">
        <v>31</v>
      </c>
    </row>
    <row r="3" spans="1:9" x14ac:dyDescent="0.3">
      <c r="A3" s="33" t="s">
        <v>8</v>
      </c>
      <c r="B3" s="34">
        <f>20*10^-3</f>
        <v>0.02</v>
      </c>
      <c r="C3" s="34" t="s">
        <v>3</v>
      </c>
      <c r="D3" s="10"/>
      <c r="E3" s="9"/>
      <c r="F3" s="10"/>
      <c r="G3" s="24" t="s">
        <v>39</v>
      </c>
      <c r="H3" s="3">
        <f>H2-H4</f>
        <v>0.6111111111111116</v>
      </c>
      <c r="I3" s="10" t="s">
        <v>31</v>
      </c>
    </row>
    <row r="4" spans="1:9" x14ac:dyDescent="0.3">
      <c r="A4" s="18" t="s">
        <v>54</v>
      </c>
      <c r="B4" s="3">
        <f>B1/B2</f>
        <v>6.666666666666667</v>
      </c>
      <c r="C4" s="3"/>
      <c r="D4" s="10"/>
      <c r="E4" s="9"/>
      <c r="F4" s="10"/>
      <c r="G4" s="24" t="s">
        <v>40</v>
      </c>
      <c r="H4" s="3">
        <f>B31/B1*H2</f>
        <v>4.9444444444444438</v>
      </c>
      <c r="I4" s="10" t="s">
        <v>31</v>
      </c>
    </row>
    <row r="5" spans="1:9" x14ac:dyDescent="0.3">
      <c r="A5" s="19" t="s">
        <v>4</v>
      </c>
      <c r="B5" s="3">
        <f>B2*1.5</f>
        <v>2.25</v>
      </c>
      <c r="C5" s="3" t="s">
        <v>2</v>
      </c>
      <c r="D5" s="10"/>
      <c r="E5" s="9"/>
      <c r="F5" s="10"/>
      <c r="G5" s="25" t="s">
        <v>42</v>
      </c>
      <c r="H5" s="4">
        <v>1.5</v>
      </c>
      <c r="I5" s="11"/>
    </row>
    <row r="6" spans="1:9" x14ac:dyDescent="0.3">
      <c r="A6" s="19" t="s">
        <v>6</v>
      </c>
      <c r="B6" s="3">
        <f>B1</f>
        <v>10</v>
      </c>
      <c r="C6" s="3" t="s">
        <v>3</v>
      </c>
      <c r="D6" s="10"/>
      <c r="E6" s="9"/>
      <c r="F6" s="10"/>
      <c r="G6" s="26" t="s">
        <v>44</v>
      </c>
      <c r="H6" s="2">
        <f>H5*B30-0.05</f>
        <v>0.99999999999999978</v>
      </c>
      <c r="I6" s="12" t="s">
        <v>3</v>
      </c>
    </row>
    <row r="7" spans="1:9" x14ac:dyDescent="0.3">
      <c r="A7" s="18" t="s">
        <v>5</v>
      </c>
      <c r="B7" s="1">
        <v>1.5</v>
      </c>
      <c r="C7" s="1" t="s">
        <v>3</v>
      </c>
      <c r="D7" s="10"/>
      <c r="E7" s="9"/>
      <c r="F7" s="10"/>
      <c r="G7" s="24" t="s">
        <v>43</v>
      </c>
      <c r="H7" s="3">
        <f>0.5*H6*B2</f>
        <v>0.74999999999999978</v>
      </c>
      <c r="I7" s="10" t="s">
        <v>28</v>
      </c>
    </row>
    <row r="8" spans="1:9" x14ac:dyDescent="0.3">
      <c r="A8" s="20" t="s">
        <v>7</v>
      </c>
      <c r="B8" s="4">
        <v>0.5</v>
      </c>
      <c r="C8" s="1" t="s">
        <v>3</v>
      </c>
      <c r="D8" s="10"/>
      <c r="E8" s="9"/>
      <c r="F8" s="10"/>
      <c r="G8" s="24" t="s">
        <v>45</v>
      </c>
      <c r="H8" s="3">
        <f xml:space="preserve"> H9-2*H6</f>
        <v>13.799999999999999</v>
      </c>
      <c r="I8" s="10" t="s">
        <v>3</v>
      </c>
    </row>
    <row r="9" spans="1:9" x14ac:dyDescent="0.3">
      <c r="A9" s="9" t="s">
        <v>9</v>
      </c>
      <c r="B9" s="3">
        <f>B1+B8+B7</f>
        <v>12</v>
      </c>
      <c r="C9" s="3" t="s">
        <v>3</v>
      </c>
      <c r="D9" s="10"/>
      <c r="E9" s="9"/>
      <c r="F9" s="10"/>
      <c r="G9" s="24" t="s">
        <v>46</v>
      </c>
      <c r="H9" s="3">
        <f>(B10+2)</f>
        <v>15.799999999999999</v>
      </c>
      <c r="I9" s="10" t="s">
        <v>3</v>
      </c>
    </row>
    <row r="10" spans="1:9" x14ac:dyDescent="0.3">
      <c r="A10" s="9" t="s">
        <v>10</v>
      </c>
      <c r="B10" s="3">
        <f>B9*1.15</f>
        <v>13.799999999999999</v>
      </c>
      <c r="C10" s="3" t="s">
        <v>3</v>
      </c>
      <c r="D10" s="10"/>
      <c r="E10" s="9"/>
      <c r="F10" s="10"/>
      <c r="G10" s="24" t="s">
        <v>47</v>
      </c>
      <c r="H10" s="3">
        <f>1.2*B2*(B1+2*H6)</f>
        <v>21.599999999999998</v>
      </c>
      <c r="I10" s="10" t="s">
        <v>28</v>
      </c>
    </row>
    <row r="11" spans="1:9" x14ac:dyDescent="0.3">
      <c r="A11" s="9" t="s">
        <v>11</v>
      </c>
      <c r="B11" s="3">
        <f>B10 +B9*0.1</f>
        <v>15</v>
      </c>
      <c r="C11" s="3" t="s">
        <v>3</v>
      </c>
      <c r="D11" s="10"/>
      <c r="E11" s="9"/>
      <c r="F11" s="10"/>
      <c r="G11" s="27" t="s">
        <v>49</v>
      </c>
      <c r="H11" s="1">
        <v>0.89</v>
      </c>
      <c r="I11" s="10"/>
    </row>
    <row r="12" spans="1:9" x14ac:dyDescent="0.3">
      <c r="A12" s="9" t="s">
        <v>12</v>
      </c>
      <c r="B12" s="3">
        <f>B11-B1</f>
        <v>5</v>
      </c>
      <c r="C12" s="3" t="s">
        <v>3</v>
      </c>
      <c r="D12" s="10"/>
      <c r="E12" s="9"/>
      <c r="F12" s="10"/>
      <c r="G12" s="24" t="s">
        <v>48</v>
      </c>
      <c r="H12" s="3">
        <f>(B2*B1*H11)/(B1*B2 + B12*B2 + B27*(B28/1000)+ B19*B2)*100</f>
        <v>38.297689229312795</v>
      </c>
      <c r="I12" s="10"/>
    </row>
    <row r="13" spans="1:9" x14ac:dyDescent="0.3">
      <c r="A13" s="9" t="s">
        <v>13</v>
      </c>
      <c r="B13" s="3">
        <f>B12*B2</f>
        <v>7.5</v>
      </c>
      <c r="C13" s="3" t="s">
        <v>28</v>
      </c>
      <c r="D13" s="10"/>
      <c r="E13" s="9"/>
      <c r="F13" s="10"/>
      <c r="G13" s="24"/>
      <c r="H13" s="3"/>
      <c r="I13" s="10"/>
    </row>
    <row r="14" spans="1:9" x14ac:dyDescent="0.3">
      <c r="A14" s="9" t="s">
        <v>14</v>
      </c>
      <c r="B14" s="3">
        <f>B12*B5</f>
        <v>11.25</v>
      </c>
      <c r="C14" s="3" t="s">
        <v>28</v>
      </c>
      <c r="D14" s="10"/>
      <c r="E14" s="9"/>
      <c r="F14" s="10"/>
      <c r="G14" s="24" t="s">
        <v>50</v>
      </c>
      <c r="H14" s="3">
        <f>H15/(1+H16)</f>
        <v>0.12003448998893547</v>
      </c>
      <c r="I14" s="10"/>
    </row>
    <row r="15" spans="1:9" x14ac:dyDescent="0.3">
      <c r="A15" s="21" t="s">
        <v>17</v>
      </c>
      <c r="B15" s="5">
        <v>250</v>
      </c>
      <c r="C15" s="1" t="s">
        <v>19</v>
      </c>
      <c r="D15" s="22">
        <v>0.5</v>
      </c>
      <c r="E15" s="9" t="s">
        <v>3</v>
      </c>
      <c r="F15" s="10"/>
      <c r="G15" s="24" t="s">
        <v>51</v>
      </c>
      <c r="H15" s="3">
        <f>H20/B8</f>
        <v>4.8340740740740742</v>
      </c>
      <c r="I15" s="10"/>
    </row>
    <row r="16" spans="1:9" x14ac:dyDescent="0.3">
      <c r="A16" s="9" t="s">
        <v>15</v>
      </c>
      <c r="B16" s="3">
        <f>B1+D15</f>
        <v>10.5</v>
      </c>
      <c r="C16" s="3" t="s">
        <v>3</v>
      </c>
      <c r="D16" s="10"/>
      <c r="E16" s="9"/>
      <c r="F16" s="10"/>
      <c r="G16" s="24" t="s">
        <v>52</v>
      </c>
      <c r="H16" s="3">
        <f>((H4/H2)/B20)*((B29*B4*(1+B15)/(B29+B4*(1+B15))))</f>
        <v>39.272375669023702</v>
      </c>
      <c r="I16" s="10"/>
    </row>
    <row r="17" spans="1:9" x14ac:dyDescent="0.3">
      <c r="A17" s="9" t="s">
        <v>16</v>
      </c>
      <c r="B17" s="3">
        <f>B2*1000/B15</f>
        <v>6</v>
      </c>
      <c r="C17" s="3" t="s">
        <v>59</v>
      </c>
      <c r="D17" s="10"/>
      <c r="E17" s="9"/>
      <c r="F17" s="10"/>
      <c r="G17" s="37" t="s">
        <v>61</v>
      </c>
      <c r="H17" s="37">
        <f>(B2*B24)/B25</f>
        <v>0.5</v>
      </c>
      <c r="I17" s="10"/>
    </row>
    <row r="18" spans="1:9" ht="28.8" x14ac:dyDescent="0.3">
      <c r="A18" s="18" t="s">
        <v>18</v>
      </c>
      <c r="B18" s="1">
        <v>1</v>
      </c>
      <c r="C18" s="35" t="s">
        <v>60</v>
      </c>
      <c r="D18" s="22"/>
      <c r="E18" s="9"/>
      <c r="F18" s="10"/>
      <c r="G18" s="24" t="s">
        <v>55</v>
      </c>
      <c r="H18" s="3">
        <f>B8/B29</f>
        <v>1.4444444444444446E-3</v>
      </c>
      <c r="I18" s="10" t="s">
        <v>2</v>
      </c>
    </row>
    <row r="19" spans="1:9" x14ac:dyDescent="0.3">
      <c r="A19" s="18" t="s">
        <v>22</v>
      </c>
      <c r="B19" s="1">
        <v>8.1999999999999993</v>
      </c>
      <c r="C19" s="1" t="s">
        <v>3</v>
      </c>
      <c r="D19" s="10"/>
      <c r="E19" s="9"/>
      <c r="F19" s="10"/>
      <c r="G19" s="24" t="s">
        <v>56</v>
      </c>
      <c r="H19" s="3">
        <f>H18*(1+B15)</f>
        <v>0.36255555555555558</v>
      </c>
      <c r="I19" s="10" t="s">
        <v>2</v>
      </c>
    </row>
    <row r="20" spans="1:9" x14ac:dyDescent="0.3">
      <c r="A20" s="18" t="s">
        <v>53</v>
      </c>
      <c r="B20" s="1">
        <v>6.5</v>
      </c>
      <c r="C20" s="1" t="s">
        <v>31</v>
      </c>
      <c r="D20" s="10"/>
      <c r="E20" s="9"/>
      <c r="F20" s="10"/>
      <c r="G20" s="24" t="s">
        <v>57</v>
      </c>
      <c r="H20" s="3">
        <f>H19*B4</f>
        <v>2.4170370370370371</v>
      </c>
      <c r="I20" s="10" t="s">
        <v>3</v>
      </c>
    </row>
    <row r="21" spans="1:9" x14ac:dyDescent="0.3">
      <c r="A21" s="9" t="s">
        <v>20</v>
      </c>
      <c r="B21" s="3">
        <f>B18+B17</f>
        <v>7</v>
      </c>
      <c r="C21" s="3" t="s">
        <v>59</v>
      </c>
      <c r="D21" s="10"/>
      <c r="E21" s="9"/>
      <c r="F21" s="10"/>
      <c r="G21" s="24"/>
      <c r="H21" s="3"/>
      <c r="I21" s="10"/>
    </row>
    <row r="22" spans="1:9" x14ac:dyDescent="0.3">
      <c r="A22" s="9" t="s">
        <v>21</v>
      </c>
      <c r="B22" s="3">
        <f>B16-B19</f>
        <v>2.3000000000000007</v>
      </c>
      <c r="C22" s="3" t="s">
        <v>3</v>
      </c>
      <c r="D22" s="10"/>
      <c r="E22" s="9"/>
      <c r="F22" s="10"/>
      <c r="G22" s="24">
        <f>H14*B8 * 1000</f>
        <v>60.017244994467738</v>
      </c>
      <c r="H22" s="3"/>
      <c r="I22" s="10"/>
    </row>
    <row r="23" spans="1:9" x14ac:dyDescent="0.3">
      <c r="A23" s="9"/>
      <c r="B23" s="3"/>
      <c r="C23" s="3"/>
      <c r="D23" s="10"/>
      <c r="E23" s="9"/>
      <c r="F23" s="10"/>
      <c r="G23" s="24"/>
      <c r="H23" s="3"/>
      <c r="I23" s="10"/>
    </row>
    <row r="24" spans="1:9" x14ac:dyDescent="0.3">
      <c r="A24" s="20" t="s">
        <v>23</v>
      </c>
      <c r="B24" s="4">
        <f>7 * 10^-3</f>
        <v>7.0000000000000001E-3</v>
      </c>
      <c r="C24" s="3" t="s">
        <v>41</v>
      </c>
      <c r="D24" s="10"/>
      <c r="E24" s="9"/>
      <c r="F24" s="10"/>
      <c r="G24" s="38" t="s">
        <v>58</v>
      </c>
      <c r="H24" s="39">
        <f>B8/H16</f>
        <v>1.2731595465827082E-2</v>
      </c>
      <c r="I24" s="10"/>
    </row>
    <row r="25" spans="1:9" x14ac:dyDescent="0.3">
      <c r="A25" s="9" t="s">
        <v>24</v>
      </c>
      <c r="B25" s="3">
        <f>B2*B24/B8</f>
        <v>2.1000000000000001E-2</v>
      </c>
      <c r="C25" s="3" t="s">
        <v>25</v>
      </c>
      <c r="D25" s="10"/>
      <c r="E25" s="9"/>
      <c r="F25" s="10"/>
      <c r="G25" s="24"/>
      <c r="H25" s="3"/>
      <c r="I25" s="10"/>
    </row>
    <row r="26" spans="1:9" x14ac:dyDescent="0.3">
      <c r="A26" s="9"/>
      <c r="B26" s="3"/>
      <c r="C26" s="3"/>
      <c r="D26" s="10"/>
      <c r="E26" s="9"/>
      <c r="F26" s="10"/>
      <c r="G26" s="24"/>
      <c r="H26" s="3"/>
      <c r="I26" s="10"/>
    </row>
    <row r="27" spans="1:9" x14ac:dyDescent="0.3">
      <c r="A27" s="9" t="s">
        <v>26</v>
      </c>
      <c r="B27" s="3">
        <f>B11-B16</f>
        <v>4.5</v>
      </c>
      <c r="C27" s="3" t="s">
        <v>3</v>
      </c>
      <c r="D27" s="10"/>
      <c r="E27" s="9"/>
      <c r="F27" s="10"/>
      <c r="H27" s="3"/>
      <c r="I27" s="10"/>
    </row>
    <row r="28" spans="1:9" x14ac:dyDescent="0.3">
      <c r="A28" s="9" t="s">
        <v>27</v>
      </c>
      <c r="B28" s="3">
        <f>B17+B21</f>
        <v>13</v>
      </c>
      <c r="C28" s="3" t="s">
        <v>59</v>
      </c>
      <c r="D28" s="10"/>
      <c r="E28" s="9"/>
      <c r="F28" s="10"/>
      <c r="G28" s="24"/>
      <c r="H28" s="3"/>
      <c r="I28" s="10"/>
    </row>
    <row r="29" spans="1:9" x14ac:dyDescent="0.3">
      <c r="A29" s="9" t="s">
        <v>30</v>
      </c>
      <c r="B29" s="3">
        <f>B27/B28*1000</f>
        <v>346.15384615384613</v>
      </c>
      <c r="C29" s="3" t="s">
        <v>31</v>
      </c>
      <c r="D29" s="10"/>
      <c r="E29" s="9"/>
      <c r="F29" s="10"/>
      <c r="G29" s="24"/>
      <c r="H29" s="3"/>
      <c r="I29" s="10"/>
    </row>
    <row r="30" spans="1:9" x14ac:dyDescent="0.3">
      <c r="A30" s="18" t="s">
        <v>33</v>
      </c>
      <c r="B30" s="1">
        <v>0.7</v>
      </c>
      <c r="C30" s="1" t="s">
        <v>3</v>
      </c>
      <c r="D30" s="10"/>
      <c r="E30" s="9"/>
      <c r="F30" s="10"/>
      <c r="G30" s="24"/>
      <c r="H30" s="3"/>
      <c r="I30" s="10"/>
    </row>
    <row r="31" spans="1:9" x14ac:dyDescent="0.3">
      <c r="A31" s="9" t="s">
        <v>32</v>
      </c>
      <c r="B31" s="3">
        <f>B19+B30</f>
        <v>8.8999999999999986</v>
      </c>
      <c r="C31" s="30" t="s">
        <v>3</v>
      </c>
      <c r="D31" s="10"/>
      <c r="E31" s="9"/>
      <c r="F31" s="10"/>
      <c r="G31" s="24"/>
      <c r="H31" s="3"/>
      <c r="I31" s="10"/>
    </row>
    <row r="32" spans="1:9" x14ac:dyDescent="0.3">
      <c r="A32" s="20" t="s">
        <v>35</v>
      </c>
      <c r="B32" s="4">
        <v>60</v>
      </c>
      <c r="C32" s="3"/>
      <c r="D32" s="10"/>
      <c r="E32" s="9"/>
      <c r="F32" s="10"/>
      <c r="G32" s="24"/>
      <c r="H32" s="3"/>
      <c r="I32" s="10"/>
    </row>
    <row r="33" spans="1:9" ht="15" thickBot="1" x14ac:dyDescent="0.35">
      <c r="A33" s="13" t="s">
        <v>34</v>
      </c>
      <c r="B33" s="14">
        <f>(B21/B32)</f>
        <v>0.11666666666666667</v>
      </c>
      <c r="C33" s="14" t="s">
        <v>2</v>
      </c>
      <c r="D33" s="15"/>
      <c r="E33" s="13"/>
      <c r="F33" s="15"/>
      <c r="G33" s="28"/>
      <c r="H33" s="14"/>
      <c r="I33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Не мое</vt:lpstr>
      <vt:lpstr>Мое</vt:lpstr>
      <vt:lpstr>Лурье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2022-05-12T11:24:47Z</dcterms:modified>
</cp:coreProperties>
</file>