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ubik03/Documents/labakyfyz/"/>
    </mc:Choice>
  </mc:AlternateContent>
  <xr:revisionPtr revIDLastSave="0" documentId="13_ncr:1_{668892BB-7D40-BF4D-9D4B-9BF28C4AA707}" xr6:coauthVersionLast="47" xr6:coauthVersionMax="47" xr10:uidLastSave="{00000000-0000-0000-0000-000000000000}"/>
  <bookViews>
    <workbookView xWindow="0" yWindow="500" windowWidth="28800" windowHeight="16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37" i="1" l="1"/>
  <c r="C36" i="1"/>
  <c r="F14" i="1"/>
  <c r="C34" i="1" s="1"/>
  <c r="K3" i="1"/>
  <c r="K4" i="1"/>
  <c r="K5" i="1"/>
  <c r="K6" i="1"/>
  <c r="K7" i="1"/>
  <c r="K8" i="1"/>
  <c r="K9" i="1"/>
  <c r="K10" i="1"/>
  <c r="K11" i="1"/>
  <c r="K2" i="1"/>
  <c r="B26" i="1"/>
  <c r="F31" i="1"/>
  <c r="F30" i="1"/>
  <c r="F29" i="1"/>
  <c r="G25" i="1"/>
  <c r="F25" i="1"/>
  <c r="I15" i="1"/>
  <c r="I14" i="1"/>
  <c r="E11" i="1"/>
  <c r="I11" i="1" s="1"/>
  <c r="E10" i="1"/>
  <c r="I10" i="1" s="1"/>
  <c r="I9" i="1"/>
  <c r="E9" i="1"/>
  <c r="E8" i="1"/>
  <c r="I8" i="1" s="1"/>
  <c r="E7" i="1"/>
  <c r="I7" i="1" s="1"/>
  <c r="I6" i="1"/>
  <c r="E6" i="1"/>
  <c r="E5" i="1"/>
  <c r="I5" i="1" s="1"/>
  <c r="E4" i="1"/>
  <c r="I4" i="1" s="1"/>
  <c r="E3" i="1"/>
  <c r="I3" i="1" s="1"/>
  <c r="I2" i="1"/>
  <c r="G2" i="1" a="1"/>
  <c r="G8" i="1" s="1"/>
  <c r="H8" i="1" s="1"/>
  <c r="E2" i="1"/>
  <c r="F28" i="1" l="1"/>
  <c r="G9" i="1"/>
  <c r="H9" i="1" s="1"/>
  <c r="G10" i="1"/>
  <c r="H10" i="1" s="1"/>
  <c r="G3" i="1"/>
  <c r="H3" i="1" s="1"/>
  <c r="G5" i="1"/>
  <c r="H5" i="1" s="1"/>
  <c r="G2" i="1"/>
  <c r="G11" i="1"/>
  <c r="H11" i="1" s="1"/>
  <c r="G4" i="1"/>
  <c r="H4" i="1" s="1"/>
  <c r="G6" i="1"/>
  <c r="H6" i="1" s="1"/>
  <c r="G7" i="1"/>
  <c r="H7" i="1" s="1"/>
  <c r="H2" i="1" l="1"/>
  <c r="B20" i="1" s="1" a="1"/>
  <c r="B14" i="1" a="1"/>
  <c r="B17" i="1" l="1"/>
  <c r="C16" i="1"/>
  <c r="B16" i="1"/>
  <c r="C15" i="1"/>
  <c r="C18" i="1"/>
  <c r="C14" i="1"/>
  <c r="B18" i="1"/>
  <c r="B15" i="1"/>
  <c r="F15" i="1" s="1"/>
  <c r="C17" i="1"/>
  <c r="B14" i="1"/>
  <c r="C23" i="1"/>
  <c r="B20" i="1"/>
  <c r="B27" i="1" s="1"/>
  <c r="B28" i="1" s="1"/>
  <c r="B29" i="1" s="1"/>
  <c r="B23" i="1"/>
  <c r="C22" i="1"/>
  <c r="B22" i="1"/>
  <c r="B21" i="1"/>
  <c r="F21" i="1" s="1"/>
  <c r="C24" i="1"/>
  <c r="C21" i="1"/>
  <c r="F20" i="1" s="1"/>
  <c r="C20" i="1"/>
  <c r="B24" i="1"/>
</calcChain>
</file>

<file path=xl/sharedStrings.xml><?xml version="1.0" encoding="utf-8"?>
<sst xmlns="http://schemas.openxmlformats.org/spreadsheetml/2006/main" count="31" uniqueCount="31">
  <si>
    <t>Číslo merania</t>
  </si>
  <si>
    <t>t/oC</t>
  </si>
  <si>
    <t>R1/Ω</t>
  </si>
  <si>
    <t>R2/kΩ</t>
  </si>
  <si>
    <t>R2/Ω</t>
  </si>
  <si>
    <t>T/Kelvin</t>
  </si>
  <si>
    <t>1/T</t>
  </si>
  <si>
    <t>ln(R2)</t>
  </si>
  <si>
    <t>Linest R1</t>
  </si>
  <si>
    <t>Chyby R1</t>
  </si>
  <si>
    <t>Boltzmanova</t>
  </si>
  <si>
    <t>Ev</t>
  </si>
  <si>
    <t>Linest R2</t>
  </si>
  <si>
    <t>Chyby R2</t>
  </si>
  <si>
    <t xml:space="preserve">Koeficient αT /10-3K-1 </t>
  </si>
  <si>
    <t>Aktiv. energia EA /10-20J</t>
  </si>
  <si>
    <t>Aktiv.energia EA/eV</t>
  </si>
  <si>
    <t xml:space="preserve">Šírka zakáz. pásu ΔW/eV </t>
  </si>
  <si>
    <t>Parcialne derivacie:</t>
  </si>
  <si>
    <t>a1</t>
  </si>
  <si>
    <t>b1</t>
  </si>
  <si>
    <t>Δhodnotama</t>
  </si>
  <si>
    <t>Koeficient αT</t>
  </si>
  <si>
    <t>Aktiv. energia EA</t>
  </si>
  <si>
    <t xml:space="preserve">Aktiv.energia EA/eV	</t>
  </si>
  <si>
    <t>Šírka zakáz. pásu ΔW</t>
  </si>
  <si>
    <t>1/T *10^3</t>
  </si>
  <si>
    <t>chyba at</t>
  </si>
  <si>
    <t>a</t>
  </si>
  <si>
    <t>b</t>
  </si>
  <si>
    <t>parcialna pre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</si>
</sst>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DejaVu Sans"/>
      <family val="2"/>
    </font>
    <font>
      <b/>
      <sz val="10"/>
      <name val="DejaVu Serif"/>
      <family val="1"/>
    </font>
    <font>
      <b/>
      <sz val="10"/>
      <name val="DejaVu Sans"/>
      <family val="2"/>
    </font>
    <font>
      <sz val="10"/>
      <name val="DejaVu Serif"/>
      <family val="1"/>
    </font>
    <font>
      <b/>
      <sz val="10"/>
      <name val="DejaVu Sans"/>
      <charset val="238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Závislosť</a:t>
            </a:r>
            <a:r>
              <a:rPr lang="sk-SK" baseline="0"/>
              <a:t> odporu kovovej vzorky od teploty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1046456692913386"/>
                  <c:y val="0.2101490959463400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 = 0,3901*T - 5,1986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k-SK"/>
                </a:p>
              </c:txPr>
            </c:trendlineLbl>
          </c:trendline>
          <c:xVal>
            <c:numRef>
              <c:f>Sheet1!$G$2:$G$11</c:f>
              <c:numCache>
                <c:formatCode>General</c:formatCode>
                <c:ptCount val="10"/>
                <c:pt idx="0">
                  <c:v>291.34999999999997</c:v>
                </c:pt>
                <c:pt idx="1">
                  <c:v>293.04999999999995</c:v>
                </c:pt>
                <c:pt idx="2">
                  <c:v>294.64999999999998</c:v>
                </c:pt>
                <c:pt idx="3">
                  <c:v>296.14999999999998</c:v>
                </c:pt>
                <c:pt idx="4">
                  <c:v>297.75</c:v>
                </c:pt>
                <c:pt idx="5">
                  <c:v>299.34999999999997</c:v>
                </c:pt>
                <c:pt idx="6">
                  <c:v>300.84999999999997</c:v>
                </c:pt>
                <c:pt idx="7">
                  <c:v>302.34999999999997</c:v>
                </c:pt>
                <c:pt idx="8">
                  <c:v>304.04999999999995</c:v>
                </c:pt>
                <c:pt idx="9">
                  <c:v>305.64999999999998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108.5</c:v>
                </c:pt>
                <c:pt idx="1">
                  <c:v>109</c:v>
                </c:pt>
                <c:pt idx="2">
                  <c:v>109.7</c:v>
                </c:pt>
                <c:pt idx="3">
                  <c:v>110.3</c:v>
                </c:pt>
                <c:pt idx="4">
                  <c:v>111</c:v>
                </c:pt>
                <c:pt idx="5">
                  <c:v>111.6</c:v>
                </c:pt>
                <c:pt idx="6">
                  <c:v>112.2</c:v>
                </c:pt>
                <c:pt idx="7">
                  <c:v>112.8</c:v>
                </c:pt>
                <c:pt idx="8">
                  <c:v>113.3</c:v>
                </c:pt>
                <c:pt idx="9">
                  <c:v>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7-574B-BE2F-C92F3183A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518096"/>
        <c:axId val="531484527"/>
      </c:scatterChart>
      <c:valAx>
        <c:axId val="912518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31484527"/>
        <c:crosses val="autoZero"/>
        <c:crossBetween val="midCat"/>
      </c:valAx>
      <c:valAx>
        <c:axId val="5314845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R(Ohm)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1251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Závislosť ln (R2/</a:t>
            </a:r>
            <a:r>
              <a:rPr lang="el-GR"/>
              <a:t>Ω)</a:t>
            </a:r>
            <a:r>
              <a:rPr lang="sk-SK"/>
              <a:t> od 1/T</a:t>
            </a:r>
            <a:r>
              <a:rPr lang="sk-SK" baseline="0"/>
              <a:t> 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171741032370955"/>
                  <c:y val="6.439814814814814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ln (R2/</a:t>
                    </a:r>
                    <a:r>
                      <a:rPr lang="el-GR" baseline="0"/>
                      <a:t>Ω) </a:t>
                    </a:r>
                    <a:r>
                      <a:rPr lang="en-US" baseline="0"/>
                      <a:t>= 3,9527*1/T - 4,0218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k-SK"/>
                </a:p>
              </c:txPr>
            </c:trendlineLbl>
          </c:trendline>
          <c:xVal>
            <c:numRef>
              <c:f>Sheet1!$K$2:$K$11</c:f>
              <c:numCache>
                <c:formatCode>General</c:formatCode>
                <c:ptCount val="10"/>
                <c:pt idx="0">
                  <c:v>3.4322979234597564</c:v>
                </c:pt>
                <c:pt idx="1">
                  <c:v>3.4123869646817955</c:v>
                </c:pt>
                <c:pt idx="2">
                  <c:v>3.3938571186153066</c:v>
                </c:pt>
                <c:pt idx="3">
                  <c:v>3.3766672294445383</c:v>
                </c:pt>
                <c:pt idx="4">
                  <c:v>3.3585222502099077</c:v>
                </c:pt>
                <c:pt idx="5">
                  <c:v>3.3405712376816439</c:v>
                </c:pt>
                <c:pt idx="6">
                  <c:v>3.3239155725444576</c:v>
                </c:pt>
                <c:pt idx="7">
                  <c:v>3.3074251695055406</c:v>
                </c:pt>
                <c:pt idx="8">
                  <c:v>3.2889327413254401</c:v>
                </c:pt>
                <c:pt idx="9">
                  <c:v>3.2717160150498943</c:v>
                </c:pt>
              </c:numCache>
            </c:numRef>
          </c:xVal>
          <c:yVal>
            <c:numRef>
              <c:f>Sheet1!$I$2:$I$11</c:f>
              <c:numCache>
                <c:formatCode>General</c:formatCode>
                <c:ptCount val="10"/>
                <c:pt idx="0">
                  <c:v>9.5432347872495118</c:v>
                </c:pt>
                <c:pt idx="1">
                  <c:v>9.4703942773104899</c:v>
                </c:pt>
                <c:pt idx="2">
                  <c:v>9.394327208089198</c:v>
                </c:pt>
                <c:pt idx="3">
                  <c:v>9.3236690572831851</c:v>
                </c:pt>
                <c:pt idx="4">
                  <c:v>9.2514823153073582</c:v>
                </c:pt>
                <c:pt idx="5">
                  <c:v>9.1839963966365801</c:v>
                </c:pt>
                <c:pt idx="6">
                  <c:v>9.1105200366939716</c:v>
                </c:pt>
                <c:pt idx="7">
                  <c:v>9.0501716198233613</c:v>
                </c:pt>
                <c:pt idx="8">
                  <c:v>8.984693690443855</c:v>
                </c:pt>
                <c:pt idx="9">
                  <c:v>8.9092352791922611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67-1E4A-B0A8-66FBBD289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314336"/>
        <c:axId val="690184384"/>
      </c:scatterChart>
      <c:valAx>
        <c:axId val="690314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1/T * 10^3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90184384"/>
        <c:crosses val="autoZero"/>
        <c:crossBetween val="midCat"/>
      </c:valAx>
      <c:valAx>
        <c:axId val="690184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ln (R2/</a:t>
                </a:r>
                <a:r>
                  <a:rPr lang="el-GR"/>
                  <a:t>Ω)</a:t>
                </a:r>
                <a:endParaRPr lang="sk-S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9031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619125</xdr:colOff>
      <xdr:row>0</xdr:row>
      <xdr:rowOff>9525</xdr:rowOff>
    </xdr:from>
    <xdr:to>
      <xdr:col>19</xdr:col>
      <xdr:colOff>111125</xdr:colOff>
      <xdr:row>16</xdr:row>
      <xdr:rowOff>32808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6D750CAA-C1F8-7860-B79E-D9CB9303C8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818092</xdr:colOff>
      <xdr:row>18</xdr:row>
      <xdr:rowOff>10582</xdr:rowOff>
    </xdr:from>
    <xdr:to>
      <xdr:col>15</xdr:col>
      <xdr:colOff>119592</xdr:colOff>
      <xdr:row>34</xdr:row>
      <xdr:rowOff>29632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BC2E86A4-C15E-DE40-E276-321BB265F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14" zoomScale="141" zoomScaleNormal="120" workbookViewId="0">
      <selection activeCell="F29" sqref="F29"/>
    </sheetView>
  </sheetViews>
  <sheetFormatPr baseColWidth="10" defaultColWidth="10" defaultRowHeight="13"/>
  <cols>
    <col min="1" max="1" width="26.796875" customWidth="1"/>
    <col min="2" max="2" width="11.796875" bestFit="1" customWidth="1"/>
    <col min="5" max="5" width="20.59765625" customWidth="1"/>
    <col min="6" max="6" width="12.796875" bestFit="1" customWidth="1"/>
    <col min="8" max="8" width="13" customWidth="1"/>
  </cols>
  <sheetData>
    <row r="1" spans="1:11" ht="14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G1" s="6" t="s">
        <v>5</v>
      </c>
      <c r="H1" s="6" t="s">
        <v>6</v>
      </c>
      <c r="I1" s="6" t="s">
        <v>7</v>
      </c>
      <c r="K1" s="6" t="s">
        <v>26</v>
      </c>
    </row>
    <row r="2" spans="1:11">
      <c r="A2" s="5">
        <v>1</v>
      </c>
      <c r="B2" s="1">
        <v>18.2</v>
      </c>
      <c r="C2" s="1">
        <v>108.5</v>
      </c>
      <c r="D2" s="1">
        <v>13.95</v>
      </c>
      <c r="E2" s="2">
        <f t="shared" ref="E2:E11" si="0">D2*10^3</f>
        <v>13950</v>
      </c>
      <c r="G2" s="2">
        <f t="array" ref="G2:G11">B2:B11+273.15</f>
        <v>291.34999999999997</v>
      </c>
      <c r="H2" s="2">
        <f t="shared" ref="H2:H11" si="1">1/G2</f>
        <v>3.4322979234597565E-3</v>
      </c>
      <c r="I2" s="2">
        <f t="shared" ref="I2:I11" si="2">LN(E2)</f>
        <v>9.5432347872495118</v>
      </c>
      <c r="K2" s="2">
        <f>H2*10^3</f>
        <v>3.4322979234597564</v>
      </c>
    </row>
    <row r="3" spans="1:11">
      <c r="A3" s="5">
        <v>2</v>
      </c>
      <c r="B3" s="1">
        <v>19.899999999999999</v>
      </c>
      <c r="C3" s="1">
        <v>109</v>
      </c>
      <c r="D3" s="1">
        <v>12.97</v>
      </c>
      <c r="E3" s="2">
        <f t="shared" si="0"/>
        <v>12970</v>
      </c>
      <c r="G3" s="2">
        <v>293.04999999999995</v>
      </c>
      <c r="H3" s="2">
        <f t="shared" si="1"/>
        <v>3.4123869646817953E-3</v>
      </c>
      <c r="I3" s="2">
        <f t="shared" si="2"/>
        <v>9.4703942773104899</v>
      </c>
      <c r="K3" s="2">
        <f t="shared" ref="K3:K11" si="3">H3*10^3</f>
        <v>3.4123869646817955</v>
      </c>
    </row>
    <row r="4" spans="1:11">
      <c r="A4" s="5">
        <v>3</v>
      </c>
      <c r="B4" s="1">
        <v>21.5</v>
      </c>
      <c r="C4" s="1">
        <v>109.7</v>
      </c>
      <c r="D4" s="1">
        <v>12.02</v>
      </c>
      <c r="E4" s="2">
        <f t="shared" si="0"/>
        <v>12020</v>
      </c>
      <c r="G4" s="2">
        <v>294.64999999999998</v>
      </c>
      <c r="H4" s="2">
        <f t="shared" si="1"/>
        <v>3.3938571186153065E-3</v>
      </c>
      <c r="I4" s="2">
        <f t="shared" si="2"/>
        <v>9.394327208089198</v>
      </c>
      <c r="K4" s="2">
        <f t="shared" si="3"/>
        <v>3.3938571186153066</v>
      </c>
    </row>
    <row r="5" spans="1:11">
      <c r="A5" s="5">
        <v>4</v>
      </c>
      <c r="B5" s="1">
        <v>23</v>
      </c>
      <c r="C5" s="1">
        <v>110.3</v>
      </c>
      <c r="D5" s="1">
        <v>11.2</v>
      </c>
      <c r="E5" s="2">
        <f t="shared" si="0"/>
        <v>11200</v>
      </c>
      <c r="G5" s="2">
        <v>296.14999999999998</v>
      </c>
      <c r="H5" s="2">
        <f t="shared" si="1"/>
        <v>3.3766672294445383E-3</v>
      </c>
      <c r="I5" s="2">
        <f t="shared" si="2"/>
        <v>9.3236690572831851</v>
      </c>
      <c r="K5" s="2">
        <f t="shared" si="3"/>
        <v>3.3766672294445383</v>
      </c>
    </row>
    <row r="6" spans="1:11">
      <c r="A6" s="5">
        <v>5</v>
      </c>
      <c r="B6" s="1">
        <v>24.6</v>
      </c>
      <c r="C6" s="1">
        <v>111</v>
      </c>
      <c r="D6" s="1">
        <v>10.42</v>
      </c>
      <c r="E6" s="2">
        <f t="shared" si="0"/>
        <v>10420</v>
      </c>
      <c r="G6" s="2">
        <v>297.75</v>
      </c>
      <c r="H6" s="2">
        <f t="shared" si="1"/>
        <v>3.3585222502099076E-3</v>
      </c>
      <c r="I6" s="2">
        <f t="shared" si="2"/>
        <v>9.2514823153073582</v>
      </c>
      <c r="K6" s="2">
        <f t="shared" si="3"/>
        <v>3.3585222502099077</v>
      </c>
    </row>
    <row r="7" spans="1:11">
      <c r="A7" s="5">
        <v>6</v>
      </c>
      <c r="B7" s="1">
        <v>26.2</v>
      </c>
      <c r="C7" s="1">
        <v>111.6</v>
      </c>
      <c r="D7" s="1">
        <v>9.74</v>
      </c>
      <c r="E7" s="2">
        <f t="shared" si="0"/>
        <v>9740</v>
      </c>
      <c r="G7" s="2">
        <v>299.34999999999997</v>
      </c>
      <c r="H7" s="2">
        <f t="shared" si="1"/>
        <v>3.340571237681644E-3</v>
      </c>
      <c r="I7" s="2">
        <f t="shared" si="2"/>
        <v>9.1839963966365801</v>
      </c>
      <c r="K7" s="2">
        <f t="shared" si="3"/>
        <v>3.3405712376816439</v>
      </c>
    </row>
    <row r="8" spans="1:11">
      <c r="A8" s="5">
        <v>7</v>
      </c>
      <c r="B8" s="1">
        <v>27.7</v>
      </c>
      <c r="C8" s="1">
        <v>112.2</v>
      </c>
      <c r="D8" s="1">
        <v>9.0500000000000007</v>
      </c>
      <c r="E8" s="2">
        <f t="shared" si="0"/>
        <v>9050</v>
      </c>
      <c r="G8" s="2">
        <v>300.84999999999997</v>
      </c>
      <c r="H8" s="2">
        <f t="shared" si="1"/>
        <v>3.3239155725444578E-3</v>
      </c>
      <c r="I8" s="2">
        <f t="shared" si="2"/>
        <v>9.1105200366939716</v>
      </c>
      <c r="K8" s="2">
        <f t="shared" si="3"/>
        <v>3.3239155725444576</v>
      </c>
    </row>
    <row r="9" spans="1:11">
      <c r="A9" s="5">
        <v>8</v>
      </c>
      <c r="B9" s="1">
        <v>29.2</v>
      </c>
      <c r="C9" s="1">
        <v>112.8</v>
      </c>
      <c r="D9" s="1">
        <v>8.52</v>
      </c>
      <c r="E9" s="2">
        <f t="shared" si="0"/>
        <v>8520</v>
      </c>
      <c r="G9" s="2">
        <v>302.34999999999997</v>
      </c>
      <c r="H9" s="2">
        <f t="shared" si="1"/>
        <v>3.3074251695055404E-3</v>
      </c>
      <c r="I9" s="2">
        <f t="shared" si="2"/>
        <v>9.0501716198233613</v>
      </c>
      <c r="K9" s="2">
        <f t="shared" si="3"/>
        <v>3.3074251695055406</v>
      </c>
    </row>
    <row r="10" spans="1:11">
      <c r="A10" s="5">
        <v>9</v>
      </c>
      <c r="B10" s="1">
        <v>30.9</v>
      </c>
      <c r="C10" s="1">
        <v>113.3</v>
      </c>
      <c r="D10" s="1">
        <v>7.98</v>
      </c>
      <c r="E10" s="2">
        <f t="shared" si="0"/>
        <v>7980</v>
      </c>
      <c r="G10" s="2">
        <v>304.04999999999995</v>
      </c>
      <c r="H10" s="2">
        <f t="shared" si="1"/>
        <v>3.2889327413254403E-3</v>
      </c>
      <c r="I10" s="2">
        <f t="shared" si="2"/>
        <v>8.984693690443855</v>
      </c>
      <c r="K10" s="2">
        <f t="shared" si="3"/>
        <v>3.2889327413254401</v>
      </c>
    </row>
    <row r="11" spans="1:11">
      <c r="A11" s="5">
        <v>10</v>
      </c>
      <c r="B11" s="1">
        <v>32.5</v>
      </c>
      <c r="C11" s="1">
        <v>114</v>
      </c>
      <c r="D11" s="1">
        <v>7.4</v>
      </c>
      <c r="E11" s="2">
        <f t="shared" si="0"/>
        <v>7400</v>
      </c>
      <c r="G11" s="2">
        <v>305.64999999999998</v>
      </c>
      <c r="H11" s="2">
        <f t="shared" si="1"/>
        <v>3.2717160150498941E-3</v>
      </c>
      <c r="I11" s="2">
        <f t="shared" si="2"/>
        <v>8.9092352791922611</v>
      </c>
      <c r="K11" s="2">
        <f t="shared" si="3"/>
        <v>3.2717160150498943</v>
      </c>
    </row>
    <row r="14" spans="1:11">
      <c r="A14" s="6" t="s">
        <v>8</v>
      </c>
      <c r="B14" s="2">
        <f t="array" ref="B14:C18">LINEST(C2:C11,G2:G11,1,1)</f>
        <v>0.39005280357169009</v>
      </c>
      <c r="C14" s="2">
        <v>-5.1985629222208871</v>
      </c>
      <c r="E14" s="6" t="s">
        <v>9</v>
      </c>
      <c r="F14" s="2">
        <f>C15*TINV(0.05,8)</f>
        <v>3.2945285264704376</v>
      </c>
      <c r="G14" t="s">
        <v>28</v>
      </c>
      <c r="H14" s="6" t="s">
        <v>10</v>
      </c>
      <c r="I14" s="2">
        <f>1.38064852*10^-23</f>
        <v>1.3806485200000002E-23</v>
      </c>
    </row>
    <row r="15" spans="1:11">
      <c r="B15" s="2">
        <v>4.7853078081448062E-3</v>
      </c>
      <c r="C15" s="2">
        <v>1.4286741624506016</v>
      </c>
      <c r="F15" s="2">
        <f>B15*TINV(0.05,8)</f>
        <v>1.1034939593806713E-2</v>
      </c>
      <c r="G15" t="s">
        <v>29</v>
      </c>
      <c r="H15" s="6" t="s">
        <v>11</v>
      </c>
      <c r="I15" s="2">
        <f>1.60217653*10^-19</f>
        <v>1.6021765299999998E-19</v>
      </c>
    </row>
    <row r="16" spans="1:11">
      <c r="B16" s="2">
        <v>0.99879734706280832</v>
      </c>
      <c r="C16" s="2">
        <v>6.8468541310395759E-2</v>
      </c>
    </row>
    <row r="17" spans="1:7">
      <c r="B17" s="2">
        <v>6643.9606385201059</v>
      </c>
      <c r="C17" s="2">
        <v>8</v>
      </c>
    </row>
    <row r="18" spans="1:7">
      <c r="B18" s="2">
        <v>31.146496470806589</v>
      </c>
      <c r="C18" s="2">
        <v>3.7503529193386967E-2</v>
      </c>
    </row>
    <row r="20" spans="1:7">
      <c r="A20" s="6" t="s">
        <v>12</v>
      </c>
      <c r="B20" s="2">
        <f t="array" ref="B20:C24">LINEST(I2:I11,H2:H11,1,1)</f>
        <v>3952.6968897403071</v>
      </c>
      <c r="C20" s="2">
        <v>-4.0218492386648084</v>
      </c>
      <c r="E20" s="6" t="s">
        <v>13</v>
      </c>
      <c r="F20" s="2">
        <f>C21*TINV(0.05,8)</f>
        <v>0.17822083712538953</v>
      </c>
    </row>
    <row r="21" spans="1:7">
      <c r="B21" s="2">
        <v>23.063335349974647</v>
      </c>
      <c r="C21" s="2">
        <v>7.7285567013786097E-2</v>
      </c>
      <c r="F21" s="2">
        <f>B21*TINV(0.05,8)</f>
        <v>53.184146688641981</v>
      </c>
    </row>
    <row r="22" spans="1:7">
      <c r="B22" s="2">
        <v>0.99972771173708874</v>
      </c>
      <c r="C22" s="2">
        <v>3.705083483275078E-3</v>
      </c>
    </row>
    <row r="23" spans="1:7">
      <c r="B23" s="2">
        <v>29372.627407386477</v>
      </c>
      <c r="C23" s="2">
        <v>8</v>
      </c>
    </row>
    <row r="24" spans="1:7">
      <c r="B24" s="2">
        <v>0.40321696117401068</v>
      </c>
      <c r="C24" s="2">
        <v>1.0982114894430228E-4</v>
      </c>
      <c r="F24" s="3" t="s">
        <v>19</v>
      </c>
      <c r="G24" s="3" t="s">
        <v>20</v>
      </c>
    </row>
    <row r="25" spans="1:7">
      <c r="E25" s="8" t="s">
        <v>18</v>
      </c>
      <c r="F25" s="2">
        <f>ABS(B14/(C14+B14*293.15)^2)</f>
        <v>3.2742542454509364E-5</v>
      </c>
      <c r="G25" s="2">
        <f>ABS(C14/(C14+B14*293.15)^2)</f>
        <v>4.363874983710276E-4</v>
      </c>
    </row>
    <row r="26" spans="1:7">
      <c r="A26" s="6" t="s">
        <v>14</v>
      </c>
      <c r="B26" s="2">
        <f>B14/(C14+(B14*293.15))*10^3</f>
        <v>3.5736984316596248</v>
      </c>
    </row>
    <row r="27" spans="1:7" ht="14">
      <c r="A27" s="7" t="s">
        <v>15</v>
      </c>
      <c r="B27" s="2">
        <f>I14*B20*10^20</f>
        <v>5.4572851108285585</v>
      </c>
      <c r="E27" s="8" t="s">
        <v>21</v>
      </c>
    </row>
    <row r="28" spans="1:7">
      <c r="A28" s="6" t="s">
        <v>16</v>
      </c>
      <c r="B28" s="2">
        <f>B27/I15*10^-20</f>
        <v>0.3406169675215851</v>
      </c>
      <c r="E28" s="8" t="s">
        <v>22</v>
      </c>
      <c r="F28" s="2">
        <f>(F25*F14+G25*F15)*10^3</f>
        <v>0.1126867498295672</v>
      </c>
    </row>
    <row r="29" spans="1:7">
      <c r="A29" s="6" t="s">
        <v>17</v>
      </c>
      <c r="B29" s="2">
        <f>2*B28</f>
        <v>0.6812339350431702</v>
      </c>
      <c r="E29" s="8" t="s">
        <v>23</v>
      </c>
      <c r="F29" s="2">
        <f>(I14*F21)*10^20</f>
        <v>7.3428613413136459E-2</v>
      </c>
    </row>
    <row r="30" spans="1:7">
      <c r="E30" s="8" t="s">
        <v>24</v>
      </c>
      <c r="F30" s="2">
        <f>((F29/I15)*10^-20)</f>
        <v>4.583053866925417E-3</v>
      </c>
    </row>
    <row r="31" spans="1:7">
      <c r="E31" s="8" t="s">
        <v>25</v>
      </c>
      <c r="F31" s="2">
        <f>((F29/I15)*10^-20)*2</f>
        <v>9.166107733850834E-3</v>
      </c>
    </row>
    <row r="34" spans="2:3">
      <c r="B34" t="s">
        <v>27</v>
      </c>
      <c r="C34">
        <f>(F25*F14+G25*F15)</f>
        <v>1.126867498295672E-4</v>
      </c>
    </row>
    <row r="36" spans="2:3">
      <c r="B36" t="s">
        <v>30</v>
      </c>
      <c r="C36">
        <f>((F25*F14)/C34)*100</f>
        <v>95.726640717475732</v>
      </c>
    </row>
    <row r="37" spans="2:3">
      <c r="C37">
        <f>((G25*F15)/C34)*100</f>
        <v>4.2733592825242726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2023-04-28T12:12:43Z</dcterms:created>
  <dcterms:modified xsi:type="dcterms:W3CDTF">2023-05-01T17:11:00Z</dcterms:modified>
  <dc:language>en-US</dc:language>
</cp:coreProperties>
</file>