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-kishimoto\Documents\タスク\20191024_勤務表リニューアル\20200515\"/>
    </mc:Choice>
  </mc:AlternateContent>
  <xr:revisionPtr revIDLastSave="0" documentId="13_ncr:1_{3D877C20-91D1-448B-8873-3D4D0A15E60B}" xr6:coauthVersionLast="45" xr6:coauthVersionMax="45" xr10:uidLastSave="{00000000-0000-0000-0000-000000000000}"/>
  <workbookProtection workbookAlgorithmName="SHA-512" workbookHashValue="n7dGKfRc3RTNSBon5YajC6GStlMx4bjuivwgUEbeIjqJJcXYoWN02Dm52KCBdtDj650X9k8FViH9N53DbdLIMg==" workbookSaltValue="+1iCeAJHs9AHk5u66WkIWg==" workbookSpinCount="100000" lockStructure="1"/>
  <bookViews>
    <workbookView xWindow="-108" yWindow="-108" windowWidth="23256" windowHeight="12576" xr2:uid="{00000000-000D-0000-FFFF-FFFF00000000}"/>
  </bookViews>
  <sheets>
    <sheet name="勤務表 (iPRo)" sheetId="7" r:id="rId1"/>
    <sheet name="所属・拠点・確認内容" sheetId="8" state="hidden" r:id="rId2"/>
    <sheet name="F-Chairデータ" sheetId="9" r:id="rId3"/>
    <sheet name="i-recoデータ" sheetId="3" r:id="rId4"/>
    <sheet name="打刻計算用" sheetId="10" state="hidden" r:id="rId5"/>
  </sheets>
  <definedNames>
    <definedName name="_xlnm.Print_Area" localSheetId="0">'勤務表 (iPRo)'!$A$1:$AI$40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0" l="1"/>
  <c r="P36" i="7" l="1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J2" i="10"/>
  <c r="L2" i="10"/>
  <c r="V38" i="7" l="1"/>
  <c r="O36" i="7" l="1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I36" i="7" l="1"/>
  <c r="H36" i="7"/>
  <c r="G36" i="7"/>
  <c r="F36" i="7"/>
  <c r="E36" i="7"/>
  <c r="I35" i="7"/>
  <c r="H35" i="7"/>
  <c r="G35" i="7"/>
  <c r="F35" i="7"/>
  <c r="E35" i="7"/>
  <c r="I34" i="7"/>
  <c r="H34" i="7"/>
  <c r="G34" i="7"/>
  <c r="F34" i="7"/>
  <c r="E34" i="7"/>
  <c r="I33" i="7"/>
  <c r="H33" i="7"/>
  <c r="G33" i="7"/>
  <c r="F33" i="7"/>
  <c r="E33" i="7"/>
  <c r="I32" i="7"/>
  <c r="H32" i="7"/>
  <c r="G32" i="7"/>
  <c r="F32" i="7"/>
  <c r="E32" i="7"/>
  <c r="I31" i="7"/>
  <c r="H31" i="7"/>
  <c r="G31" i="7"/>
  <c r="F31" i="7"/>
  <c r="E31" i="7"/>
  <c r="I30" i="7"/>
  <c r="H30" i="7"/>
  <c r="G30" i="7"/>
  <c r="F30" i="7"/>
  <c r="E30" i="7"/>
  <c r="I29" i="7"/>
  <c r="H29" i="7"/>
  <c r="G29" i="7"/>
  <c r="F29" i="7"/>
  <c r="E29" i="7"/>
  <c r="I28" i="7"/>
  <c r="H28" i="7"/>
  <c r="G28" i="7"/>
  <c r="F28" i="7"/>
  <c r="E28" i="7"/>
  <c r="I27" i="7"/>
  <c r="H27" i="7"/>
  <c r="G27" i="7"/>
  <c r="F27" i="7"/>
  <c r="E27" i="7"/>
  <c r="I26" i="7"/>
  <c r="H26" i="7"/>
  <c r="G26" i="7"/>
  <c r="F26" i="7"/>
  <c r="E26" i="7"/>
  <c r="I25" i="7"/>
  <c r="H25" i="7"/>
  <c r="G25" i="7"/>
  <c r="F25" i="7"/>
  <c r="E25" i="7"/>
  <c r="I24" i="7"/>
  <c r="H24" i="7"/>
  <c r="G24" i="7"/>
  <c r="F24" i="7"/>
  <c r="E24" i="7"/>
  <c r="I23" i="7"/>
  <c r="H23" i="7"/>
  <c r="G23" i="7"/>
  <c r="F23" i="7"/>
  <c r="E23" i="7"/>
  <c r="I22" i="7"/>
  <c r="H22" i="7"/>
  <c r="G22" i="7"/>
  <c r="F22" i="7"/>
  <c r="E22" i="7"/>
  <c r="I21" i="7"/>
  <c r="H21" i="7"/>
  <c r="G21" i="7"/>
  <c r="F21" i="7"/>
  <c r="E21" i="7"/>
  <c r="I20" i="7"/>
  <c r="H20" i="7"/>
  <c r="G20" i="7"/>
  <c r="F20" i="7"/>
  <c r="E20" i="7"/>
  <c r="I19" i="7"/>
  <c r="H19" i="7"/>
  <c r="G19" i="7"/>
  <c r="F19" i="7"/>
  <c r="E19" i="7"/>
  <c r="I18" i="7"/>
  <c r="H18" i="7"/>
  <c r="G18" i="7"/>
  <c r="F18" i="7"/>
  <c r="E18" i="7"/>
  <c r="I17" i="7"/>
  <c r="H17" i="7"/>
  <c r="G17" i="7"/>
  <c r="F17" i="7"/>
  <c r="E17" i="7"/>
  <c r="I16" i="7"/>
  <c r="H16" i="7"/>
  <c r="G16" i="7"/>
  <c r="F16" i="7"/>
  <c r="E16" i="7"/>
  <c r="I15" i="7"/>
  <c r="H15" i="7"/>
  <c r="G15" i="7"/>
  <c r="F15" i="7"/>
  <c r="E15" i="7"/>
  <c r="I14" i="7"/>
  <c r="H14" i="7"/>
  <c r="G14" i="7"/>
  <c r="F14" i="7"/>
  <c r="E14" i="7"/>
  <c r="I13" i="7"/>
  <c r="H13" i="7"/>
  <c r="G13" i="7"/>
  <c r="F13" i="7"/>
  <c r="E13" i="7"/>
  <c r="I12" i="7"/>
  <c r="H12" i="7"/>
  <c r="G12" i="7"/>
  <c r="F12" i="7"/>
  <c r="E12" i="7"/>
  <c r="I11" i="7"/>
  <c r="H11" i="7"/>
  <c r="G11" i="7"/>
  <c r="F11" i="7"/>
  <c r="E11" i="7"/>
  <c r="I10" i="7"/>
  <c r="H10" i="7"/>
  <c r="G10" i="7"/>
  <c r="F10" i="7"/>
  <c r="E10" i="7"/>
  <c r="I9" i="7"/>
  <c r="H9" i="7"/>
  <c r="G9" i="7"/>
  <c r="F9" i="7"/>
  <c r="E9" i="7"/>
  <c r="I8" i="7"/>
  <c r="H8" i="7"/>
  <c r="G8" i="7"/>
  <c r="F8" i="7"/>
  <c r="E8" i="7"/>
  <c r="I7" i="7"/>
  <c r="H7" i="7"/>
  <c r="G7" i="7"/>
  <c r="F7" i="7"/>
  <c r="E7" i="7"/>
  <c r="I6" i="7"/>
  <c r="H6" i="7"/>
  <c r="G6" i="7"/>
  <c r="F6" i="7"/>
  <c r="E6" i="7"/>
  <c r="AG3" i="7"/>
  <c r="AG2" i="7"/>
  <c r="AG1" i="7"/>
  <c r="B3" i="10" l="1"/>
  <c r="B2" i="10"/>
  <c r="B1" i="10" s="1"/>
  <c r="A6" i="10"/>
  <c r="A7" i="10"/>
  <c r="A9" i="10"/>
  <c r="A10" i="10" s="1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Y7" i="7"/>
  <c r="Y6" i="7"/>
  <c r="S7" i="7"/>
  <c r="V7" i="7"/>
  <c r="AH37" i="7"/>
  <c r="AG37" i="7"/>
  <c r="AF37" i="7"/>
  <c r="AE37" i="7"/>
  <c r="AD37" i="7"/>
  <c r="B6" i="10"/>
  <c r="B7" i="10"/>
  <c r="B9" i="10"/>
  <c r="B10" i="10"/>
  <c r="B12" i="10"/>
  <c r="B13" i="10"/>
  <c r="R6" i="7"/>
  <c r="T6" i="7" s="1"/>
  <c r="N6" i="7"/>
  <c r="P6" i="7" s="1"/>
  <c r="A3" i="10"/>
  <c r="A2" i="10"/>
  <c r="A1" i="10" s="1"/>
  <c r="AH6" i="7"/>
  <c r="M6" i="7" s="1"/>
  <c r="D8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BC33" i="7"/>
  <c r="BC32" i="7"/>
  <c r="BC30" i="7"/>
  <c r="BC28" i="7"/>
  <c r="BC26" i="7"/>
  <c r="BC24" i="7"/>
  <c r="BC21" i="7"/>
  <c r="BC20" i="7"/>
  <c r="BC12" i="7"/>
  <c r="BC9" i="7"/>
  <c r="AG7" i="7"/>
  <c r="BC7" i="7" s="1"/>
  <c r="BC6" i="7"/>
  <c r="M35" i="7"/>
  <c r="M34" i="7"/>
  <c r="M31" i="7"/>
  <c r="M30" i="7"/>
  <c r="M27" i="7"/>
  <c r="M26" i="7"/>
  <c r="M23" i="7"/>
  <c r="M22" i="7"/>
  <c r="M19" i="7"/>
  <c r="M18" i="7"/>
  <c r="M15" i="7"/>
  <c r="M14" i="7"/>
  <c r="M11" i="7"/>
  <c r="M10" i="7"/>
  <c r="S8" i="7"/>
  <c r="AG8" i="7"/>
  <c r="BC8" i="7" s="1"/>
  <c r="C8" i="7"/>
  <c r="BA8" i="7"/>
  <c r="AH8" i="7" s="1"/>
  <c r="AB8" i="7"/>
  <c r="AA8" i="7"/>
  <c r="Z8" i="7"/>
  <c r="W8" i="7"/>
  <c r="V8" i="7"/>
  <c r="O6" i="7"/>
  <c r="S6" i="7"/>
  <c r="W6" i="7"/>
  <c r="V6" i="7"/>
  <c r="C6" i="7"/>
  <c r="AG6" i="7"/>
  <c r="K6" i="7"/>
  <c r="D6" i="7"/>
  <c r="S9" i="7"/>
  <c r="W9" i="7"/>
  <c r="V9" i="7"/>
  <c r="BA9" i="7"/>
  <c r="C9" i="7"/>
  <c r="AG9" i="7"/>
  <c r="BB9" i="7" s="1"/>
  <c r="K9" i="7"/>
  <c r="D9" i="7"/>
  <c r="Z7" i="7"/>
  <c r="AA7" i="7"/>
  <c r="W7" i="7"/>
  <c r="BA7" i="7"/>
  <c r="C7" i="7"/>
  <c r="D7" i="7"/>
  <c r="G37" i="7"/>
  <c r="J37" i="7" s="1"/>
  <c r="AD1" i="7" s="1"/>
  <c r="H37" i="7"/>
  <c r="I38" i="7"/>
  <c r="J38" i="7" s="1"/>
  <c r="K35" i="7"/>
  <c r="K32" i="7"/>
  <c r="K30" i="7"/>
  <c r="K26" i="7"/>
  <c r="K23" i="7"/>
  <c r="K22" i="7"/>
  <c r="K15" i="7"/>
  <c r="K14" i="7"/>
  <c r="BC2" i="7"/>
  <c r="BC1" i="7"/>
  <c r="BA36" i="7"/>
  <c r="BA35" i="7"/>
  <c r="BA34" i="7"/>
  <c r="BA33" i="7"/>
  <c r="BB32" i="7"/>
  <c r="BA32" i="7"/>
  <c r="BA31" i="7"/>
  <c r="BB30" i="7"/>
  <c r="BA30" i="7"/>
  <c r="BA29" i="7"/>
  <c r="BA28" i="7"/>
  <c r="BA27" i="7"/>
  <c r="BB26" i="7"/>
  <c r="BA26" i="7"/>
  <c r="BA25" i="7"/>
  <c r="BB24" i="7"/>
  <c r="BA24" i="7"/>
  <c r="BA23" i="7"/>
  <c r="BB22" i="7"/>
  <c r="BA22" i="7"/>
  <c r="BA21" i="7"/>
  <c r="BB20" i="7"/>
  <c r="BA20" i="7"/>
  <c r="BA19" i="7"/>
  <c r="BA18" i="7"/>
  <c r="BA17" i="7"/>
  <c r="BA16" i="7"/>
  <c r="BA15" i="7"/>
  <c r="BB14" i="7"/>
  <c r="BA14" i="7"/>
  <c r="BA13" i="7"/>
  <c r="BA12" i="7"/>
  <c r="BA11" i="7"/>
  <c r="BA10" i="7"/>
  <c r="BB6" i="7"/>
  <c r="BA6" i="7"/>
  <c r="BA37" i="7"/>
  <c r="AF6" i="7"/>
  <c r="AE6" i="7"/>
  <c r="AD6" i="7"/>
  <c r="AJ13" i="7"/>
  <c r="C13" i="7"/>
  <c r="AJ11" i="7"/>
  <c r="C11" i="7"/>
  <c r="AJ10" i="7"/>
  <c r="C10" i="7"/>
  <c r="AJ12" i="7"/>
  <c r="C12" i="7"/>
  <c r="AJ36" i="7"/>
  <c r="AJ35" i="7"/>
  <c r="C35" i="7"/>
  <c r="AJ34" i="7"/>
  <c r="AJ33" i="7"/>
  <c r="AJ32" i="7"/>
  <c r="C32" i="7"/>
  <c r="AJ31" i="7"/>
  <c r="C31" i="7"/>
  <c r="AJ30" i="7"/>
  <c r="C30" i="7"/>
  <c r="AJ29" i="7"/>
  <c r="C29" i="7"/>
  <c r="AJ28" i="7"/>
  <c r="AJ27" i="7"/>
  <c r="C27" i="7"/>
  <c r="AJ26" i="7"/>
  <c r="AJ25" i="7"/>
  <c r="C25" i="7"/>
  <c r="AJ24" i="7"/>
  <c r="C24" i="7"/>
  <c r="AJ23" i="7"/>
  <c r="C23" i="7"/>
  <c r="AJ22" i="7"/>
  <c r="C22" i="7"/>
  <c r="AJ21" i="7"/>
  <c r="C21" i="7"/>
  <c r="AJ20" i="7"/>
  <c r="AJ19" i="7"/>
  <c r="C19" i="7"/>
  <c r="AJ18" i="7"/>
  <c r="AJ17" i="7"/>
  <c r="C17" i="7"/>
  <c r="AJ16" i="7"/>
  <c r="C16" i="7"/>
  <c r="AJ15" i="7"/>
  <c r="C15" i="7"/>
  <c r="AJ14" i="7"/>
  <c r="C14" i="7"/>
  <c r="AJ9" i="7"/>
  <c r="AJ8" i="7"/>
  <c r="AJ7" i="7"/>
  <c r="AJ6" i="7"/>
  <c r="C36" i="7"/>
  <c r="C34" i="7"/>
  <c r="C28" i="7"/>
  <c r="C26" i="7"/>
  <c r="C20" i="7"/>
  <c r="C18" i="7"/>
  <c r="S22" i="7"/>
  <c r="V22" i="7"/>
  <c r="V23" i="7"/>
  <c r="S23" i="7"/>
  <c r="S16" i="7"/>
  <c r="W16" i="7"/>
  <c r="V16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1" i="7"/>
  <c r="S20" i="7"/>
  <c r="S19" i="7"/>
  <c r="S18" i="7"/>
  <c r="S17" i="7"/>
  <c r="S15" i="7"/>
  <c r="S14" i="7"/>
  <c r="S13" i="7"/>
  <c r="S12" i="7"/>
  <c r="S11" i="7"/>
  <c r="S10" i="7"/>
  <c r="W33" i="7"/>
  <c r="W28" i="7"/>
  <c r="W36" i="7"/>
  <c r="W35" i="7"/>
  <c r="W34" i="7"/>
  <c r="W31" i="7"/>
  <c r="W30" i="7"/>
  <c r="W29" i="7"/>
  <c r="W27" i="7"/>
  <c r="W26" i="7"/>
  <c r="W25" i="7"/>
  <c r="W20" i="7"/>
  <c r="W15" i="7"/>
  <c r="W11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1" i="7"/>
  <c r="V20" i="7"/>
  <c r="V19" i="7"/>
  <c r="V18" i="7"/>
  <c r="V17" i="7"/>
  <c r="V15" i="7"/>
  <c r="V14" i="7"/>
  <c r="V13" i="7"/>
  <c r="V12" i="7"/>
  <c r="V11" i="7"/>
  <c r="V10" i="7"/>
  <c r="A4" i="7"/>
  <c r="AG35" i="7"/>
  <c r="BC35" i="7" s="1"/>
  <c r="AB19" i="7"/>
  <c r="AG12" i="7"/>
  <c r="K12" i="7" s="1"/>
  <c r="AG34" i="7"/>
  <c r="AD34" i="7" s="1"/>
  <c r="AG26" i="7"/>
  <c r="AE26" i="7"/>
  <c r="AG17" i="7"/>
  <c r="K17" i="7" s="1"/>
  <c r="AF17" i="7"/>
  <c r="AG15" i="7"/>
  <c r="BC15" i="7" s="1"/>
  <c r="AG21" i="7"/>
  <c r="K21" i="7" s="1"/>
  <c r="AG31" i="7"/>
  <c r="BC31" i="7" s="1"/>
  <c r="AG27" i="7"/>
  <c r="BC27" i="7" s="1"/>
  <c r="AG30" i="7"/>
  <c r="AG20" i="7"/>
  <c r="K20" i="7" s="1"/>
  <c r="AG11" i="7"/>
  <c r="BC11" i="7" s="1"/>
  <c r="AG25" i="7"/>
  <c r="K25" i="7" s="1"/>
  <c r="AG33" i="7"/>
  <c r="K33" i="7" s="1"/>
  <c r="AE33" i="7"/>
  <c r="AE35" i="7"/>
  <c r="AB23" i="7"/>
  <c r="AB11" i="7"/>
  <c r="AB16" i="7"/>
  <c r="AE34" i="7"/>
  <c r="AB9" i="7"/>
  <c r="AB24" i="7"/>
  <c r="AB13" i="7"/>
  <c r="AE17" i="7"/>
  <c r="AE15" i="7"/>
  <c r="AF26" i="7"/>
  <c r="AF21" i="7"/>
  <c r="AE31" i="7"/>
  <c r="AE9" i="7"/>
  <c r="AE20" i="7"/>
  <c r="AF20" i="7"/>
  <c r="AE11" i="7"/>
  <c r="AF11" i="7"/>
  <c r="Z13" i="7"/>
  <c r="AA13" i="7"/>
  <c r="W13" i="7"/>
  <c r="AA24" i="7"/>
  <c r="Z24" i="7"/>
  <c r="AG24" i="7"/>
  <c r="K24" i="7" s="1"/>
  <c r="AA32" i="7"/>
  <c r="Z32" i="7"/>
  <c r="AG32" i="7"/>
  <c r="AA36" i="7"/>
  <c r="Z36" i="7"/>
  <c r="AG36" i="7"/>
  <c r="AD36" i="7" s="1"/>
  <c r="AD30" i="7"/>
  <c r="AE30" i="7"/>
  <c r="AF30" i="7"/>
  <c r="W24" i="7"/>
  <c r="W32" i="7"/>
  <c r="AG23" i="7"/>
  <c r="BC23" i="7" s="1"/>
  <c r="W23" i="7"/>
  <c r="AA22" i="7"/>
  <c r="Z22" i="7"/>
  <c r="AG22" i="7"/>
  <c r="AF22" i="7" s="1"/>
  <c r="W22" i="7"/>
  <c r="D14" i="7"/>
  <c r="D11" i="7"/>
  <c r="AA18" i="7"/>
  <c r="Z18" i="7"/>
  <c r="AG18" i="7"/>
  <c r="AF18" i="7" s="1"/>
  <c r="AA28" i="7"/>
  <c r="Z28" i="7"/>
  <c r="AG28" i="7"/>
  <c r="K28" i="7" s="1"/>
  <c r="AD9" i="7"/>
  <c r="AD15" i="7"/>
  <c r="AF15" i="7"/>
  <c r="AG13" i="7"/>
  <c r="K13" i="7" s="1"/>
  <c r="AB6" i="7"/>
  <c r="AB34" i="7"/>
  <c r="AB26" i="7"/>
  <c r="AB36" i="7"/>
  <c r="AB10" i="7"/>
  <c r="AB27" i="7"/>
  <c r="AB14" i="7"/>
  <c r="AB25" i="7"/>
  <c r="AB12" i="7"/>
  <c r="AB35" i="7"/>
  <c r="AB28" i="7"/>
  <c r="AB21" i="7"/>
  <c r="AB22" i="7"/>
  <c r="AB20" i="7"/>
  <c r="AB33" i="7"/>
  <c r="AB17" i="7"/>
  <c r="AB32" i="7"/>
  <c r="AB15" i="7"/>
  <c r="AB7" i="7"/>
  <c r="AB31" i="7"/>
  <c r="AB18" i="7"/>
  <c r="AB29" i="7"/>
  <c r="AB30" i="7"/>
  <c r="W18" i="7"/>
  <c r="D18" i="7"/>
  <c r="D10" i="7"/>
  <c r="AD11" i="7"/>
  <c r="AD27" i="7"/>
  <c r="W10" i="7"/>
  <c r="AA10" i="7"/>
  <c r="Z10" i="7"/>
  <c r="W14" i="7"/>
  <c r="AA14" i="7"/>
  <c r="Z14" i="7"/>
  <c r="W19" i="7"/>
  <c r="Z19" i="7"/>
  <c r="AA19" i="7"/>
  <c r="Z25" i="7"/>
  <c r="AA25" i="7"/>
  <c r="Z29" i="7"/>
  <c r="AA29" i="7"/>
  <c r="AE21" i="7"/>
  <c r="AG16" i="7"/>
  <c r="K16" i="7" s="1"/>
  <c r="Z6" i="7"/>
  <c r="AA6" i="7"/>
  <c r="Z11" i="7"/>
  <c r="AA11" i="7"/>
  <c r="AA15" i="7"/>
  <c r="Z15" i="7"/>
  <c r="AA20" i="7"/>
  <c r="Z20" i="7"/>
  <c r="AA26" i="7"/>
  <c r="Z26" i="7"/>
  <c r="AA30" i="7"/>
  <c r="Z30" i="7"/>
  <c r="AA34" i="7"/>
  <c r="Z34" i="7"/>
  <c r="AG10" i="7"/>
  <c r="AF10" i="7" s="1"/>
  <c r="AA16" i="7"/>
  <c r="Z16" i="7"/>
  <c r="Z9" i="7"/>
  <c r="AA9" i="7"/>
  <c r="AD33" i="7"/>
  <c r="AD20" i="7"/>
  <c r="AD31" i="7"/>
  <c r="AD26" i="7"/>
  <c r="Z33" i="7"/>
  <c r="AA33" i="7"/>
  <c r="AF33" i="7"/>
  <c r="AG14" i="7"/>
  <c r="AE14" i="7" s="1"/>
  <c r="AG19" i="7"/>
  <c r="BC19" i="7" s="1"/>
  <c r="AG29" i="7"/>
  <c r="K29" i="7" s="1"/>
  <c r="AD21" i="7"/>
  <c r="AD17" i="7"/>
  <c r="AD12" i="7"/>
  <c r="AD35" i="7"/>
  <c r="W12" i="7"/>
  <c r="AA12" i="7"/>
  <c r="Z12" i="7"/>
  <c r="W17" i="7"/>
  <c r="Z17" i="7"/>
  <c r="AA17" i="7"/>
  <c r="W21" i="7"/>
  <c r="Z21" i="7"/>
  <c r="AA21" i="7"/>
  <c r="Z27" i="7"/>
  <c r="AA27" i="7"/>
  <c r="AA31" i="7"/>
  <c r="Z31" i="7"/>
  <c r="AA35" i="7"/>
  <c r="Z35" i="7"/>
  <c r="AA23" i="7"/>
  <c r="Z23" i="7"/>
  <c r="AD23" i="7"/>
  <c r="V2" i="7"/>
  <c r="AD2" i="7"/>
  <c r="V3" i="7"/>
  <c r="AF28" i="7"/>
  <c r="AE12" i="7"/>
  <c r="AF35" i="7"/>
  <c r="AD28" i="7"/>
  <c r="D12" i="7"/>
  <c r="D16" i="7"/>
  <c r="D20" i="7"/>
  <c r="D24" i="7"/>
  <c r="D28" i="7"/>
  <c r="D32" i="7"/>
  <c r="AE13" i="7"/>
  <c r="D13" i="7"/>
  <c r="AF32" i="7"/>
  <c r="AE32" i="7"/>
  <c r="AD24" i="7"/>
  <c r="AF24" i="7"/>
  <c r="AE24" i="7"/>
  <c r="AD32" i="7"/>
  <c r="AE19" i="7"/>
  <c r="AF19" i="7"/>
  <c r="D34" i="7"/>
  <c r="D26" i="7"/>
  <c r="AF36" i="7"/>
  <c r="D36" i="7"/>
  <c r="AE23" i="7"/>
  <c r="AD14" i="7"/>
  <c r="AF14" i="7"/>
  <c r="D22" i="7"/>
  <c r="AD22" i="7"/>
  <c r="AE22" i="7"/>
  <c r="AE10" i="7"/>
  <c r="AF16" i="7"/>
  <c r="AF23" i="7"/>
  <c r="AE28" i="7"/>
  <c r="AE18" i="7"/>
  <c r="D30" i="7"/>
  <c r="E37" i="7"/>
  <c r="D33" i="7"/>
  <c r="D29" i="7"/>
  <c r="D25" i="7"/>
  <c r="D21" i="7"/>
  <c r="D17" i="7"/>
  <c r="AD3" i="7"/>
  <c r="F37" i="7"/>
  <c r="D35" i="7"/>
  <c r="D31" i="7"/>
  <c r="D27" i="7"/>
  <c r="D23" i="7"/>
  <c r="D19" i="7"/>
  <c r="D15" i="7"/>
  <c r="K18" i="7" l="1"/>
  <c r="K34" i="7"/>
  <c r="BC16" i="7"/>
  <c r="BC36" i="7"/>
  <c r="AE16" i="7"/>
  <c r="AD10" i="7"/>
  <c r="AD18" i="7"/>
  <c r="BB18" i="7"/>
  <c r="BB34" i="7"/>
  <c r="K19" i="7"/>
  <c r="K27" i="7"/>
  <c r="K31" i="7"/>
  <c r="BC13" i="7"/>
  <c r="BC17" i="7"/>
  <c r="BC25" i="7"/>
  <c r="BC29" i="7"/>
  <c r="AD16" i="7"/>
  <c r="AD25" i="7"/>
  <c r="AF27" i="7"/>
  <c r="K10" i="7"/>
  <c r="AF34" i="7"/>
  <c r="BB10" i="7"/>
  <c r="BB12" i="7"/>
  <c r="BB16" i="7"/>
  <c r="BB28" i="7"/>
  <c r="BB36" i="7"/>
  <c r="K11" i="7"/>
  <c r="AD8" i="7"/>
  <c r="AF13" i="7"/>
  <c r="AD29" i="7"/>
  <c r="AD19" i="7"/>
  <c r="AF12" i="7"/>
  <c r="AD13" i="7"/>
  <c r="AE25" i="7"/>
  <c r="BB8" i="7"/>
  <c r="K36" i="7"/>
  <c r="AE8" i="7"/>
  <c r="M12" i="7"/>
  <c r="M16" i="7"/>
  <c r="M20" i="7"/>
  <c r="M24" i="7"/>
  <c r="M28" i="7"/>
  <c r="M32" i="7"/>
  <c r="M36" i="7"/>
  <c r="BC10" i="7"/>
  <c r="BC14" i="7"/>
  <c r="BC18" i="7"/>
  <c r="BC22" i="7"/>
  <c r="BC34" i="7"/>
  <c r="AE29" i="7"/>
  <c r="AE36" i="7"/>
  <c r="AF29" i="7"/>
  <c r="AE27" i="7"/>
  <c r="AF9" i="7"/>
  <c r="AF25" i="7"/>
  <c r="AF31" i="7"/>
  <c r="BB11" i="7"/>
  <c r="BB13" i="7"/>
  <c r="BB15" i="7"/>
  <c r="BB17" i="7"/>
  <c r="BB19" i="7"/>
  <c r="BB21" i="7"/>
  <c r="BB23" i="7"/>
  <c r="BB25" i="7"/>
  <c r="BB27" i="7"/>
  <c r="BB29" i="7"/>
  <c r="BB31" i="7"/>
  <c r="BB33" i="7"/>
  <c r="BB35" i="7"/>
  <c r="AG38" i="7"/>
  <c r="AG40" i="7" s="1"/>
  <c r="M9" i="7"/>
  <c r="M13" i="7"/>
  <c r="M17" i="7"/>
  <c r="M21" i="7"/>
  <c r="M25" i="7"/>
  <c r="M29" i="7"/>
  <c r="M33" i="7"/>
  <c r="K7" i="7"/>
  <c r="BB7" i="7"/>
  <c r="V1" i="7"/>
  <c r="AH7" i="7"/>
  <c r="M7" i="7" s="1"/>
  <c r="D37" i="7"/>
  <c r="A12" i="10"/>
  <c r="A13" i="10" s="1"/>
  <c r="F2" i="10"/>
  <c r="C3" i="10"/>
  <c r="H2" i="10"/>
  <c r="G2" i="10"/>
  <c r="E2" i="10" s="1"/>
  <c r="I2" i="10"/>
  <c r="K8" i="7"/>
  <c r="AF8" i="7"/>
  <c r="AF7" i="7"/>
  <c r="AE7" i="7"/>
  <c r="AD7" i="7"/>
  <c r="M8" i="7"/>
  <c r="V39" i="7"/>
  <c r="AH40" i="7" s="1"/>
  <c r="J3" i="10"/>
  <c r="L3" i="10"/>
  <c r="D2" i="10" l="1"/>
  <c r="M2" i="10"/>
  <c r="K2" i="10"/>
  <c r="C4" i="10"/>
  <c r="J4" i="10" s="1"/>
  <c r="G3" i="10"/>
  <c r="F3" i="10"/>
  <c r="H3" i="10"/>
  <c r="I3" i="10"/>
  <c r="L4" i="10" l="1"/>
  <c r="M3" i="10"/>
  <c r="E3" i="10"/>
  <c r="K3" i="10"/>
  <c r="D3" i="10"/>
  <c r="G4" i="10"/>
  <c r="F4" i="10"/>
  <c r="I4" i="10"/>
  <c r="H4" i="10"/>
  <c r="C5" i="10"/>
  <c r="J5" i="10"/>
  <c r="L5" i="10"/>
  <c r="K4" i="10" l="1"/>
  <c r="D4" i="10"/>
  <c r="M4" i="10"/>
  <c r="E4" i="10"/>
  <c r="F5" i="10"/>
  <c r="I5" i="10"/>
  <c r="H5" i="10"/>
  <c r="G5" i="10"/>
  <c r="C6" i="10"/>
  <c r="L6" i="10"/>
  <c r="J6" i="10"/>
  <c r="M5" i="10" l="1"/>
  <c r="E5" i="10"/>
  <c r="K5" i="10"/>
  <c r="D5" i="10"/>
  <c r="H6" i="10"/>
  <c r="C7" i="10"/>
  <c r="G6" i="10"/>
  <c r="I6" i="10"/>
  <c r="F6" i="10"/>
  <c r="J7" i="10"/>
  <c r="L7" i="10"/>
  <c r="M6" i="10" l="1"/>
  <c r="E6" i="10"/>
  <c r="K6" i="10"/>
  <c r="D6" i="10"/>
  <c r="C8" i="10"/>
  <c r="G7" i="10"/>
  <c r="I7" i="10"/>
  <c r="F7" i="10"/>
  <c r="H7" i="10"/>
  <c r="J8" i="10"/>
  <c r="L8" i="10"/>
  <c r="M7" i="10" l="1"/>
  <c r="E7" i="10"/>
  <c r="K7" i="10"/>
  <c r="D7" i="10"/>
  <c r="G8" i="10"/>
  <c r="H8" i="10"/>
  <c r="C9" i="10"/>
  <c r="J9" i="10" s="1"/>
  <c r="I8" i="10"/>
  <c r="F8" i="10"/>
  <c r="L9" i="10"/>
  <c r="K8" i="10" l="1"/>
  <c r="D8" i="10"/>
  <c r="M8" i="10"/>
  <c r="E8" i="10"/>
  <c r="F9" i="10"/>
  <c r="I9" i="10"/>
  <c r="H9" i="10"/>
  <c r="C10" i="10"/>
  <c r="L10" i="10" s="1"/>
  <c r="G9" i="10"/>
  <c r="J10" i="10" l="1"/>
  <c r="M9" i="10"/>
  <c r="E9" i="10"/>
  <c r="K9" i="10"/>
  <c r="D9" i="10"/>
  <c r="H10" i="10"/>
  <c r="G10" i="10"/>
  <c r="I10" i="10"/>
  <c r="F10" i="10"/>
  <c r="C11" i="10"/>
  <c r="J11" i="10" s="1"/>
  <c r="L11" i="10"/>
  <c r="K10" i="10" l="1"/>
  <c r="D10" i="10"/>
  <c r="M10" i="10"/>
  <c r="E10" i="10"/>
  <c r="C12" i="10"/>
  <c r="H11" i="10"/>
  <c r="G11" i="10"/>
  <c r="I11" i="10"/>
  <c r="F11" i="10"/>
  <c r="L12" i="10"/>
  <c r="J12" i="10"/>
  <c r="M11" i="10" l="1"/>
  <c r="E11" i="10"/>
  <c r="K11" i="10"/>
  <c r="D11" i="10"/>
  <c r="G12" i="10"/>
  <c r="F12" i="10"/>
  <c r="H12" i="10"/>
  <c r="C13" i="10"/>
  <c r="J13" i="10" s="1"/>
  <c r="I12" i="10"/>
  <c r="L13" i="10" l="1"/>
  <c r="K12" i="10"/>
  <c r="D12" i="10"/>
  <c r="M12" i="10"/>
  <c r="E12" i="10"/>
  <c r="F13" i="10"/>
  <c r="I13" i="10"/>
  <c r="G13" i="10"/>
  <c r="H13" i="10"/>
  <c r="C14" i="10"/>
  <c r="J14" i="10"/>
  <c r="L14" i="10"/>
  <c r="M13" i="10" l="1"/>
  <c r="E13" i="10"/>
  <c r="K13" i="10"/>
  <c r="D13" i="10"/>
  <c r="H14" i="10"/>
  <c r="G14" i="10"/>
  <c r="I14" i="10"/>
  <c r="C15" i="10"/>
  <c r="J15" i="10" s="1"/>
  <c r="F14" i="10"/>
  <c r="L15" i="10" l="1"/>
  <c r="K14" i="10"/>
  <c r="D14" i="10"/>
  <c r="M14" i="10"/>
  <c r="E14" i="10"/>
  <c r="C16" i="10"/>
  <c r="F15" i="10"/>
  <c r="G15" i="10"/>
  <c r="H15" i="10"/>
  <c r="I15" i="10"/>
  <c r="L16" i="10"/>
  <c r="J16" i="10"/>
  <c r="M15" i="10" l="1"/>
  <c r="E15" i="10"/>
  <c r="K15" i="10"/>
  <c r="D15" i="10"/>
  <c r="G16" i="10"/>
  <c r="I16" i="10"/>
  <c r="C17" i="10"/>
  <c r="L17" i="10" s="1"/>
  <c r="F16" i="10"/>
  <c r="H16" i="10"/>
  <c r="J17" i="10"/>
  <c r="K16" i="10" l="1"/>
  <c r="D16" i="10"/>
  <c r="M16" i="10"/>
  <c r="E16" i="10"/>
  <c r="F17" i="10"/>
  <c r="I17" i="10"/>
  <c r="G17" i="10"/>
  <c r="C18" i="10"/>
  <c r="L18" i="10" s="1"/>
  <c r="H17" i="10"/>
  <c r="J18" i="10" l="1"/>
  <c r="M17" i="10"/>
  <c r="E17" i="10"/>
  <c r="K17" i="10"/>
  <c r="D17" i="10"/>
  <c r="H18" i="10"/>
  <c r="F18" i="10"/>
  <c r="C19" i="10"/>
  <c r="J19" i="10" s="1"/>
  <c r="G18" i="10"/>
  <c r="I18" i="10"/>
  <c r="L19" i="10"/>
  <c r="M18" i="10" l="1"/>
  <c r="E18" i="10"/>
  <c r="K18" i="10"/>
  <c r="D18" i="10"/>
  <c r="C20" i="10"/>
  <c r="I19" i="10"/>
  <c r="F19" i="10"/>
  <c r="H19" i="10"/>
  <c r="G19" i="10"/>
  <c r="J20" i="10"/>
  <c r="L20" i="10"/>
  <c r="K19" i="10" l="1"/>
  <c r="D19" i="10"/>
  <c r="M19" i="10"/>
  <c r="E19" i="10"/>
  <c r="G20" i="10"/>
  <c r="F20" i="10"/>
  <c r="I20" i="10"/>
  <c r="C21" i="10"/>
  <c r="J21" i="10" s="1"/>
  <c r="H20" i="10"/>
  <c r="L21" i="10" l="1"/>
  <c r="K20" i="10"/>
  <c r="D20" i="10"/>
  <c r="M20" i="10"/>
  <c r="E20" i="10"/>
  <c r="F21" i="10"/>
  <c r="I21" i="10"/>
  <c r="H21" i="10"/>
  <c r="C22" i="10"/>
  <c r="G21" i="10"/>
  <c r="L22" i="10"/>
  <c r="J22" i="10"/>
  <c r="M21" i="10" l="1"/>
  <c r="E21" i="10"/>
  <c r="K21" i="10"/>
  <c r="D21" i="10"/>
  <c r="H22" i="10"/>
  <c r="I22" i="10"/>
  <c r="F22" i="10"/>
  <c r="C23" i="10"/>
  <c r="G22" i="10"/>
  <c r="L23" i="10"/>
  <c r="J23" i="10"/>
  <c r="K22" i="10" l="1"/>
  <c r="D22" i="10"/>
  <c r="M22" i="10"/>
  <c r="E22" i="10"/>
  <c r="C24" i="10"/>
  <c r="G23" i="10"/>
  <c r="I23" i="10"/>
  <c r="F23" i="10"/>
  <c r="H23" i="10"/>
  <c r="J24" i="10"/>
  <c r="L24" i="10"/>
  <c r="K23" i="10" l="1"/>
  <c r="D23" i="10"/>
  <c r="M23" i="10"/>
  <c r="E23" i="10"/>
  <c r="G24" i="10"/>
  <c r="H24" i="10"/>
  <c r="C25" i="10"/>
  <c r="J25" i="10" s="1"/>
  <c r="I24" i="10"/>
  <c r="F24" i="10"/>
  <c r="L25" i="10" l="1"/>
  <c r="K24" i="10"/>
  <c r="D24" i="10"/>
  <c r="M24" i="10"/>
  <c r="E24" i="10"/>
  <c r="F25" i="10"/>
  <c r="I25" i="10"/>
  <c r="H25" i="10"/>
  <c r="C26" i="10"/>
  <c r="G25" i="10"/>
  <c r="J26" i="10"/>
  <c r="L26" i="10"/>
  <c r="M25" i="10" l="1"/>
  <c r="E25" i="10"/>
  <c r="K25" i="10"/>
  <c r="D25" i="10"/>
  <c r="H26" i="10"/>
  <c r="G26" i="10"/>
  <c r="I26" i="10"/>
  <c r="F26" i="10"/>
  <c r="C27" i="10"/>
  <c r="J27" i="10" s="1"/>
  <c r="L27" i="10"/>
  <c r="K26" i="10" l="1"/>
  <c r="D26" i="10"/>
  <c r="M26" i="10"/>
  <c r="E26" i="10"/>
  <c r="C28" i="10"/>
  <c r="H27" i="10"/>
  <c r="I27" i="10"/>
  <c r="G27" i="10"/>
  <c r="F27" i="10"/>
  <c r="J28" i="10"/>
  <c r="L28" i="10"/>
  <c r="M27" i="10" l="1"/>
  <c r="E27" i="10"/>
  <c r="K27" i="10"/>
  <c r="D27" i="10"/>
  <c r="G28" i="10"/>
  <c r="F28" i="10"/>
  <c r="H28" i="10"/>
  <c r="C29" i="10"/>
  <c r="J29" i="10" s="1"/>
  <c r="I28" i="10"/>
  <c r="L29" i="10" l="1"/>
  <c r="K28" i="10"/>
  <c r="D28" i="10"/>
  <c r="M28" i="10"/>
  <c r="E28" i="10"/>
  <c r="F29" i="10"/>
  <c r="I29" i="10"/>
  <c r="G29" i="10"/>
  <c r="H29" i="10"/>
  <c r="C30" i="10"/>
  <c r="J30" i="10"/>
  <c r="L30" i="10"/>
  <c r="M29" i="10" l="1"/>
  <c r="E29" i="10"/>
  <c r="K29" i="10"/>
  <c r="D29" i="10"/>
  <c r="H30" i="10"/>
  <c r="G30" i="10"/>
  <c r="I30" i="10"/>
  <c r="F30" i="10"/>
  <c r="C31" i="10"/>
  <c r="J31" i="10" s="1"/>
  <c r="L31" i="10"/>
  <c r="K30" i="10" l="1"/>
  <c r="D30" i="10"/>
  <c r="M30" i="10"/>
  <c r="E30" i="10"/>
  <c r="C32" i="10"/>
  <c r="F31" i="10"/>
  <c r="G31" i="10"/>
  <c r="H31" i="10"/>
  <c r="I31" i="10"/>
  <c r="L32" i="10"/>
  <c r="J32" i="10"/>
  <c r="K31" i="10" l="1"/>
  <c r="D31" i="10"/>
  <c r="M31" i="10"/>
  <c r="E31" i="10"/>
  <c r="G32" i="10"/>
  <c r="N33" i="7"/>
  <c r="N29" i="7"/>
  <c r="N25" i="7"/>
  <c r="N21" i="7"/>
  <c r="N17" i="7"/>
  <c r="N13" i="7"/>
  <c r="N9" i="7"/>
  <c r="I32" i="10"/>
  <c r="N35" i="7"/>
  <c r="N30" i="7"/>
  <c r="N24" i="7"/>
  <c r="N19" i="7"/>
  <c r="N14" i="7"/>
  <c r="N8" i="7"/>
  <c r="H32" i="10"/>
  <c r="N32" i="7"/>
  <c r="N22" i="7"/>
  <c r="N11" i="7"/>
  <c r="F32" i="10"/>
  <c r="N34" i="7"/>
  <c r="N28" i="7"/>
  <c r="N23" i="7"/>
  <c r="N18" i="7"/>
  <c r="N12" i="7"/>
  <c r="N7" i="7"/>
  <c r="N27" i="7"/>
  <c r="N20" i="7"/>
  <c r="N10" i="7"/>
  <c r="N36" i="7"/>
  <c r="N16" i="7"/>
  <c r="N31" i="7"/>
  <c r="N15" i="7"/>
  <c r="N26" i="7"/>
  <c r="K32" i="10" l="1"/>
  <c r="D32" i="10"/>
  <c r="M32" i="10"/>
  <c r="E32" i="10"/>
  <c r="R24" i="7"/>
  <c r="T24" i="7" s="1"/>
  <c r="R11" i="7"/>
  <c r="T11" i="7" s="1"/>
  <c r="R26" i="7"/>
  <c r="T26" i="7" s="1"/>
  <c r="R22" i="7"/>
  <c r="T22" i="7" s="1"/>
  <c r="R27" i="7"/>
  <c r="T27" i="7" s="1"/>
  <c r="R10" i="7"/>
  <c r="T10" i="7" s="1"/>
  <c r="R9" i="7"/>
  <c r="T9" i="7" s="1"/>
  <c r="R28" i="7"/>
  <c r="T28" i="7" s="1"/>
  <c r="R7" i="7"/>
  <c r="T7" i="7" s="1"/>
  <c r="R33" i="7"/>
  <c r="T33" i="7" s="1"/>
  <c r="R35" i="7"/>
  <c r="T35" i="7" s="1"/>
  <c r="R13" i="7"/>
  <c r="T13" i="7" s="1"/>
  <c r="R19" i="7"/>
  <c r="T19" i="7" s="1"/>
  <c r="R34" i="7"/>
  <c r="T34" i="7" s="1"/>
  <c r="R29" i="7"/>
  <c r="T29" i="7" s="1"/>
  <c r="R14" i="7"/>
  <c r="T14" i="7" s="1"/>
  <c r="R30" i="7"/>
  <c r="T30" i="7" s="1"/>
  <c r="R12" i="7"/>
  <c r="T12" i="7" s="1"/>
  <c r="R15" i="7"/>
  <c r="T15" i="7" s="1"/>
  <c r="R31" i="7"/>
  <c r="T31" i="7" s="1"/>
  <c r="R20" i="7"/>
  <c r="T20" i="7" s="1"/>
  <c r="R23" i="7"/>
  <c r="T23" i="7" s="1"/>
  <c r="R17" i="7"/>
  <c r="T17" i="7" s="1"/>
  <c r="R36" i="7"/>
  <c r="T36" i="7" s="1"/>
  <c r="R8" i="7"/>
  <c r="T8" i="7" s="1"/>
  <c r="R18" i="7"/>
  <c r="T18" i="7" s="1"/>
  <c r="R21" i="7"/>
  <c r="T21" i="7" s="1"/>
  <c r="R32" i="7"/>
  <c r="T32" i="7" s="1"/>
  <c r="R25" i="7"/>
  <c r="T25" i="7" s="1"/>
  <c r="R16" i="7"/>
  <c r="T16" i="7" s="1"/>
  <c r="AI34" i="7"/>
  <c r="AI14" i="7"/>
  <c r="AI18" i="7"/>
  <c r="AI26" i="7"/>
  <c r="AI33" i="7"/>
  <c r="AI23" i="7"/>
  <c r="AI36" i="7"/>
  <c r="AI20" i="7"/>
  <c r="AI32" i="7"/>
  <c r="AI27" i="7"/>
  <c r="AI21" i="7"/>
  <c r="AI9" i="7"/>
  <c r="AI13" i="7"/>
  <c r="AI16" i="7"/>
  <c r="AI11" i="7"/>
  <c r="AI19" i="7"/>
  <c r="AI24" i="7"/>
  <c r="AI22" i="7"/>
  <c r="AI15" i="7"/>
  <c r="AI30" i="7"/>
  <c r="AI17" i="7"/>
  <c r="AI10" i="7"/>
  <c r="AI31" i="7"/>
  <c r="AI6" i="7"/>
  <c r="AI12" i="7"/>
  <c r="AI35" i="7"/>
  <c r="AI25" i="7"/>
  <c r="AI29" i="7"/>
  <c r="AI28" i="7"/>
  <c r="AI7" i="7"/>
  <c r="AI8" i="7"/>
  <c r="BA3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岸本　慎介</author>
    <author>田中　裕希子</author>
    <author>tanaka</author>
  </authors>
  <commentList>
    <comment ref="O2" authorId="0" shapeId="0" xr:uid="{E8DB5C29-424F-4CB3-A45F-1E652191F9FB}">
      <text>
        <r>
          <rPr>
            <b/>
            <sz val="9"/>
            <color indexed="81"/>
            <rFont val="MS P ゴシック"/>
            <family val="3"/>
            <charset val="128"/>
          </rPr>
          <t>以下の内容は必ず入力してください。
（社員番号・所属・氏名は、i-PRoデータから自動設定されます）
・拠点
・在宅（なし・スポット・完全）
・フレックス（あり・なし）
空欄だと赤色で表示されます！</t>
        </r>
      </text>
    </comment>
    <comment ref="R2" authorId="0" shapeId="0" xr:uid="{5595E6D2-3CFA-4003-81C4-ED0BC5593B9D}">
      <text>
        <r>
          <rPr>
            <b/>
            <sz val="9"/>
            <color indexed="81"/>
            <rFont val="MS P ゴシック"/>
            <family val="3"/>
            <charset val="128"/>
          </rPr>
          <t>以下の内容は必ず入力してください。
（社員番号・所属・氏名は、i-PRoデータから自動設定されます）
・拠点
・在宅（なし・スポット・完全）
・フレックス（あり・なし）
空欄だと赤色で表示されます！</t>
        </r>
      </text>
    </comment>
    <comment ref="J3" authorId="0" shapeId="0" xr:uid="{C21CC4BE-6846-448C-A696-0FD92339D856}">
      <text>
        <r>
          <rPr>
            <b/>
            <sz val="9"/>
            <color indexed="81"/>
            <rFont val="MS P ゴシック"/>
            <family val="3"/>
            <charset val="128"/>
          </rPr>
          <t>以下の内容は必ず入力してください。
（社員番号・拠点・所属・氏名は、i-PRoデータから自動設定されます）
・在宅（なし・スポット・完全）
・フレックス（あり・なし）
空欄だと赤色で表示されます！</t>
        </r>
      </text>
    </comment>
    <comment ref="C5" authorId="0" shapeId="0" xr:uid="{E8B77C3E-A5C9-49BF-9824-CE08E4729A6B}">
      <text>
        <r>
          <rPr>
            <b/>
            <sz val="8"/>
            <color indexed="81"/>
            <rFont val="MS P ゴシック"/>
            <family val="3"/>
            <charset val="128"/>
          </rPr>
          <t>「欠勤」を選択した場合は、給与控除となります。
やむを得ず欠勤となった場合、有給休暇が残っていれば
事後でも有給休暇の申請・取得は可能です。</t>
        </r>
      </text>
    </comment>
    <comment ref="O5" authorId="1" shapeId="0" xr:uid="{299B2C36-DAC8-4B32-A163-AA271BD033BB}">
      <text>
        <r>
          <rPr>
            <b/>
            <sz val="9"/>
            <color indexed="81"/>
            <rFont val="ＭＳ Ｐゴシック"/>
            <family val="3"/>
            <charset val="128"/>
          </rPr>
          <t>最小値：5:00(AM)、最大値29:00
※最小値より前の時間に出勤した場合は、前日の始業時刻につけてください。
例）
現実には、7/2のAM1:00出社・・・→
始業時刻は、7/1　25:00　で入力。</t>
        </r>
      </text>
    </comment>
    <comment ref="Q5" authorId="1" shapeId="0" xr:uid="{00000000-0006-0000-0000-000001000000}">
      <text>
        <r>
          <rPr>
            <b/>
            <sz val="8"/>
            <color indexed="81"/>
            <rFont val="ＭＳ Ｐゴシック"/>
            <family val="3"/>
            <charset val="128"/>
          </rPr>
          <t>別場所打刻は、
別の場所で打刻したため、i-recoデータを貼り付けていないときに選択します。</t>
        </r>
      </text>
    </comment>
    <comment ref="S5" authorId="1" shapeId="0" xr:uid="{A5DA75B9-5C1A-4F26-ADE1-D41BE06F860E}">
      <text>
        <r>
          <rPr>
            <b/>
            <sz val="8"/>
            <color indexed="81"/>
            <rFont val="ＭＳ Ｐゴシック"/>
            <family val="3"/>
            <charset val="128"/>
          </rPr>
          <t>最小値：5:10(AM)、最大値：29:00
夜の時間記入方法
深夜0時→24:00
深夜1時→25:00
・・・
早朝5時→29:00</t>
        </r>
      </text>
    </comment>
    <comment ref="AD5" authorId="2" shapeId="0" xr:uid="{00000000-0006-0000-0000-000003000000}">
      <text>
        <r>
          <rPr>
            <b/>
            <sz val="8"/>
            <color indexed="81"/>
            <rFont val="ＭＳ Ｐゴシック"/>
            <family val="3"/>
            <charset val="128"/>
          </rPr>
          <t>平日
深夜1.5</t>
        </r>
        <r>
          <rPr>
            <sz val="8"/>
            <color indexed="81"/>
            <rFont val="ＭＳ Ｐゴシック"/>
            <family val="3"/>
            <charset val="128"/>
          </rPr>
          <t xml:space="preserve">
</t>
        </r>
      </text>
    </comment>
    <comment ref="AE5" authorId="2" shapeId="0" xr:uid="{00000000-0006-0000-0000-000004000000}">
      <text>
        <r>
          <rPr>
            <b/>
            <sz val="8"/>
            <color indexed="81"/>
            <rFont val="ＭＳ Ｐゴシック"/>
            <family val="3"/>
            <charset val="128"/>
          </rPr>
          <t>日曜日　※祝日含まない
1.35</t>
        </r>
      </text>
    </comment>
    <comment ref="AF5" authorId="2" shapeId="0" xr:uid="{00000000-0006-0000-0000-000005000000}">
      <text>
        <r>
          <rPr>
            <b/>
            <sz val="8"/>
            <color indexed="81"/>
            <rFont val="ＭＳ Ｐゴシック"/>
            <family val="3"/>
            <charset val="128"/>
          </rPr>
          <t>日曜　※祝日含まない
深夜1.6</t>
        </r>
      </text>
    </comment>
    <comment ref="K6" authorId="1" shapeId="0" xr:uid="{E376A691-97B8-45D1-8EA2-A976A9C5D83F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6" authorId="0" shapeId="0" xr:uid="{CE443F28-5F1D-4905-A493-99FFA6445CDD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6" authorId="1" shapeId="0" xr:uid="{297B488B-10FA-485F-9111-8047BE6AB22B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6" authorId="1" shapeId="0" xr:uid="{B41E63E0-AE05-4CFA-95C0-D967CA9E07F7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6" authorId="1" shapeId="0" xr:uid="{AA2DE579-E134-40B1-BD61-7875FFF459B4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7" authorId="1" shapeId="0" xr:uid="{ABD4E6DA-C130-4230-B6EF-E7130E59A558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7" authorId="0" shapeId="0" xr:uid="{04A3EE56-D632-4825-A1F3-CD9C4E33D083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7" authorId="1" shapeId="0" xr:uid="{2826D33E-9CBF-442D-85B6-4E2E7978F256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7" authorId="1" shapeId="0" xr:uid="{F01A7186-98C0-4126-B6DB-70A50A1CFC3A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7" authorId="1" shapeId="0" xr:uid="{62418F4A-E909-4B6E-9534-EE84D3499451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8" authorId="1" shapeId="0" xr:uid="{D5DD9FB8-5178-4656-842A-1A99E4F0BE48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8" authorId="0" shapeId="0" xr:uid="{C4DA70E7-CF4A-408F-9C3F-8ECAB6FA2FC2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8" authorId="1" shapeId="0" xr:uid="{4FD09A45-ADB4-4F86-BA65-B6B25495C541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8" authorId="1" shapeId="0" xr:uid="{733DFEA8-E82B-459C-AC19-298E05C9935D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8" authorId="1" shapeId="0" xr:uid="{D25CC0D9-477B-4F42-972F-4AE451FB4453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9" authorId="1" shapeId="0" xr:uid="{71C0FD84-21B7-4297-A870-04BA5B75DAE8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9" authorId="0" shapeId="0" xr:uid="{A576E20B-1E3F-4904-98B5-212167143604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9" authorId="1" shapeId="0" xr:uid="{B2083AC3-0F8E-4E19-8D0A-02308415D24D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9" authorId="1" shapeId="0" xr:uid="{AE4BD2CD-E3EE-41B9-878F-89EE94CAA337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9" authorId="1" shapeId="0" xr:uid="{54AA5A9D-BD04-4AEB-99BD-C12DEBA31FC2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10" authorId="1" shapeId="0" xr:uid="{23D08A6C-DFDC-4A5D-ADA6-F43F81B494E1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10" authorId="0" shapeId="0" xr:uid="{2D2E475B-08D5-4EAE-9D82-3B63D42B5CE1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10" authorId="1" shapeId="0" xr:uid="{86F38635-4C0B-44AE-99CC-BEB91D3CFC7B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10" authorId="1" shapeId="0" xr:uid="{9058DC4B-A4C1-4386-9564-4A270C63E428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10" authorId="1" shapeId="0" xr:uid="{81D30021-CCC4-4386-9285-3609A477D915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11" authorId="1" shapeId="0" xr:uid="{4A811941-F885-4AAE-A565-136CC015F6D8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11" authorId="0" shapeId="0" xr:uid="{0CB23ED1-216C-46C9-9C26-4C42590951EF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11" authorId="1" shapeId="0" xr:uid="{FD4E01B1-9EA5-4F0E-82A8-7E778C55EB6B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11" authorId="1" shapeId="0" xr:uid="{EE0BBA98-EFB4-4249-9BCC-9528F90B6155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11" authorId="1" shapeId="0" xr:uid="{0D0E75F2-EFAE-4142-A78B-D61515CB9870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12" authorId="1" shapeId="0" xr:uid="{C5D5DFCE-1299-4A59-B03A-591A3D62A600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12" authorId="0" shapeId="0" xr:uid="{B61B4270-6E04-41C9-AD48-A2F8969ADA57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12" authorId="1" shapeId="0" xr:uid="{4E7785B5-9391-4888-BDB7-F7C16F95F4F4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12" authorId="1" shapeId="0" xr:uid="{86D8D5E4-984E-43B5-80DB-6AE0C0F78251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12" authorId="1" shapeId="0" xr:uid="{B791060E-8100-450F-85E8-A5B6B5771797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13" authorId="1" shapeId="0" xr:uid="{4F84CA97-F76C-4E54-A2C7-AA88415DBC2C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13" authorId="0" shapeId="0" xr:uid="{97E57237-F6EC-4477-9DBE-D780F5CA527E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13" authorId="1" shapeId="0" xr:uid="{811D1D67-935D-47CB-831E-AE84B1461560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13" authorId="1" shapeId="0" xr:uid="{8A9F0269-6015-4288-BBA7-2A7B8EE70D7F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13" authorId="1" shapeId="0" xr:uid="{E8115E83-F0B1-4DEB-BE6E-9D3A98B8651A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14" authorId="1" shapeId="0" xr:uid="{695D8D5D-8BA1-42B9-A685-36F752AF4AA8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14" authorId="0" shapeId="0" xr:uid="{A8EDF189-5B9E-4829-8D7A-9F6FDA6528C8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14" authorId="1" shapeId="0" xr:uid="{A87F55DE-1AA9-4411-BA0D-6821B68F42F1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14" authorId="1" shapeId="0" xr:uid="{0C8479B0-A816-4318-AC35-1EECA6D9EC20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14" authorId="1" shapeId="0" xr:uid="{C9951683-2E63-4BB8-A1FE-9C0669D9D344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15" authorId="1" shapeId="0" xr:uid="{4F8E4E81-63F7-4FCE-8395-5FDF7055E363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15" authorId="0" shapeId="0" xr:uid="{62CB756D-79A7-4EC8-BD08-3BB93468670E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15" authorId="1" shapeId="0" xr:uid="{5FB185B2-069B-4DFA-8575-B171228C26D2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15" authorId="1" shapeId="0" xr:uid="{06835ED6-6AD8-44ED-B49F-A7838DEF5E90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15" authorId="1" shapeId="0" xr:uid="{24E5915F-A7A6-4044-864E-29D1D86D7CBD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16" authorId="1" shapeId="0" xr:uid="{43BAB02A-8AD9-4237-89B2-6862300E1D92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16" authorId="0" shapeId="0" xr:uid="{A2B8269C-37F4-4C7A-986E-FCEE2859C0AC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16" authorId="1" shapeId="0" xr:uid="{FA7B71B9-19EE-4A5C-A409-A104C6D170F3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16" authorId="1" shapeId="0" xr:uid="{246B5059-F2B5-45AF-B0E7-FB06700DB9DE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16" authorId="1" shapeId="0" xr:uid="{72696C72-BA4B-479A-BC89-350A14AFF86E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17" authorId="1" shapeId="0" xr:uid="{AAB99E7E-3279-4AF5-879F-42EC1AEDFA96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17" authorId="0" shapeId="0" xr:uid="{C7BEA47B-1320-4A1D-9901-1E9078E5E377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17" authorId="1" shapeId="0" xr:uid="{66EFA9DD-D5E2-4329-8529-9627CCADA579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17" authorId="1" shapeId="0" xr:uid="{DEEC7081-2AB4-4E01-91B6-17B3D56C1085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17" authorId="1" shapeId="0" xr:uid="{22AF5082-72E0-494C-8E64-B8B89DAC3815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18" authorId="1" shapeId="0" xr:uid="{FAEE9109-1128-4A5D-9BBA-16367288E56F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18" authorId="0" shapeId="0" xr:uid="{93654ACE-F309-40C9-97AD-EB76A27C8C34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18" authorId="1" shapeId="0" xr:uid="{BA1C7A73-D23B-499E-8314-8120993B21DF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18" authorId="1" shapeId="0" xr:uid="{1E0AD3AE-72C1-4D77-86D6-79E538F73ACD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18" authorId="1" shapeId="0" xr:uid="{2F4E585A-CAC7-4C52-B5C5-A404288E3871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19" authorId="1" shapeId="0" xr:uid="{264CD652-D69A-424A-ADC5-AA4EC1C982DF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19" authorId="0" shapeId="0" xr:uid="{B91DDE48-5753-4FA9-A990-654419AB6851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19" authorId="1" shapeId="0" xr:uid="{59447977-98B1-4B24-8743-26272DB70802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19" authorId="1" shapeId="0" xr:uid="{B0C74CA5-9355-4967-B2BB-5EAB6F6E7925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19" authorId="1" shapeId="0" xr:uid="{FE3A7441-E6D8-41FE-9C75-56D6EB25283C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20" authorId="1" shapeId="0" xr:uid="{DA4B3855-8ED9-4FCC-819E-27FF96101B87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20" authorId="0" shapeId="0" xr:uid="{A92EFCE7-92EE-445F-B777-E04EA0B70AF1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20" authorId="1" shapeId="0" xr:uid="{545FF583-4955-40BD-B32A-5363659BF1F2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20" authorId="1" shapeId="0" xr:uid="{06D9DAAE-1488-4D13-9391-E6C2B3FD5EA0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20" authorId="1" shapeId="0" xr:uid="{F64DBD4C-93C4-479B-9097-999DD5FF0FE3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21" authorId="1" shapeId="0" xr:uid="{FDEBF027-E9AD-47B3-9318-D2C28A7D1C68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21" authorId="0" shapeId="0" xr:uid="{E80B1DA6-5025-425B-8576-5D75F3630BC4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21" authorId="1" shapeId="0" xr:uid="{06D5E8D0-E7F8-4323-9F3B-6011DE470EB5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21" authorId="1" shapeId="0" xr:uid="{5F42588E-DF72-45F8-B823-FB576AE84DF9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21" authorId="1" shapeId="0" xr:uid="{E6D214D1-3160-4953-AE82-084186D0217E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22" authorId="1" shapeId="0" xr:uid="{2B779304-77B5-40F3-8E70-1562D50C50AE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22" authorId="0" shapeId="0" xr:uid="{56E94C3D-8E77-4E83-9CB1-9A829FAAD10A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22" authorId="1" shapeId="0" xr:uid="{2A987A3F-E4D7-4486-946C-9503C148EF81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22" authorId="1" shapeId="0" xr:uid="{6374840D-6EC5-4D25-8EC1-B6237D691C65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22" authorId="1" shapeId="0" xr:uid="{569D9C8B-C03D-4D6A-BEE9-DAB719B1F068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23" authorId="1" shapeId="0" xr:uid="{66BBBEBA-03B9-4E41-BE45-F38B5D15AC82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23" authorId="0" shapeId="0" xr:uid="{7C82406C-77E7-47DE-ACDB-665175C007BA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23" authorId="1" shapeId="0" xr:uid="{E44B5698-BA27-4BB8-8567-7DE78CFC54EF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23" authorId="1" shapeId="0" xr:uid="{C1CE69F5-095A-4BEF-9392-AD8B88E4ADC8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23" authorId="1" shapeId="0" xr:uid="{99106EB1-4FE1-429D-9C88-B41ED226C11D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24" authorId="1" shapeId="0" xr:uid="{86FEB89C-DF0C-49A4-BF9F-5E361FF8D20C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24" authorId="0" shapeId="0" xr:uid="{3E28D277-7313-46CC-8B50-36A55E7F133B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24" authorId="1" shapeId="0" xr:uid="{1D25B2F7-B6C0-44C1-9C46-805AE69E6E29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24" authorId="1" shapeId="0" xr:uid="{DC03B07B-F3E1-4187-B0D8-5751462AA404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24" authorId="1" shapeId="0" xr:uid="{302F28AC-6ED6-43F6-9E25-AC9ADB580D01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25" authorId="1" shapeId="0" xr:uid="{9B0B48FB-32D0-41DE-82F7-DA487D1403FA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25" authorId="0" shapeId="0" xr:uid="{1E6FA3C0-270D-46C5-953E-9E824A98212D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25" authorId="1" shapeId="0" xr:uid="{8FDD7D3D-7334-41DF-949C-35248B8C8DBE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25" authorId="1" shapeId="0" xr:uid="{16E28E25-EF14-4DA5-80F8-C1136E42B4DF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25" authorId="1" shapeId="0" xr:uid="{B29F0FAD-F8AC-47F9-827B-83D1F4EC1AE3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26" authorId="1" shapeId="0" xr:uid="{25F12361-8C5A-4F29-90B8-A881588B02FA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26" authorId="0" shapeId="0" xr:uid="{11A19008-29D6-45CE-8547-D9F471C91661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26" authorId="1" shapeId="0" xr:uid="{4A5F8BC5-B123-4359-A86F-4092AA87A17B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26" authorId="1" shapeId="0" xr:uid="{029F1A30-E58F-4637-8FD6-90417EECD70D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26" authorId="1" shapeId="0" xr:uid="{48DB5ED4-274C-49B1-A7E8-377A7D3528BC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27" authorId="1" shapeId="0" xr:uid="{B84CA3A4-7289-47C5-A42A-F902B0EF19FE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27" authorId="0" shapeId="0" xr:uid="{0F327E63-C57E-45D7-A6E8-EA7B38920A09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27" authorId="1" shapeId="0" xr:uid="{1C4A18BC-B3A3-40AB-8598-EA8BB1D38780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27" authorId="1" shapeId="0" xr:uid="{B5D1ADBE-A576-4FBA-B68E-2C0785A7DDBC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27" authorId="1" shapeId="0" xr:uid="{99DF3CAA-9627-4637-A562-DBC7D513F386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28" authorId="1" shapeId="0" xr:uid="{D3A149AF-4FF2-4F91-81B8-88DE97D64D08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28" authorId="0" shapeId="0" xr:uid="{E701F7EF-3359-4DF2-B0FD-614B28AC9410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28" authorId="1" shapeId="0" xr:uid="{C9610FEB-B723-4F99-A3C6-50B456366044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28" authorId="1" shapeId="0" xr:uid="{72E03779-144F-440A-93FE-3F562F6B3702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28" authorId="1" shapeId="0" xr:uid="{C411A7B4-841C-4481-AA96-9CB0A20736E2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29" authorId="1" shapeId="0" xr:uid="{E585D087-C294-40BE-A3A7-EA1A5BFE9702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29" authorId="0" shapeId="0" xr:uid="{25464D33-1770-44D3-B495-9A04A6CF262C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29" authorId="1" shapeId="0" xr:uid="{2EC7090B-597E-4D8A-A4D2-9F9D1B0F21D4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29" authorId="1" shapeId="0" xr:uid="{4140E61E-4506-478E-8A5E-4FB0D701E41E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29" authorId="1" shapeId="0" xr:uid="{56BEFAB2-D4D5-4BC1-9CAD-BA31EA039A19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30" authorId="1" shapeId="0" xr:uid="{B7EC0B73-2CC6-43A3-9FF7-81C03CC00094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30" authorId="0" shapeId="0" xr:uid="{40ABECDE-5A5D-41FC-B1D5-22A9368B154D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30" authorId="1" shapeId="0" xr:uid="{058A37C3-A1B1-4456-9D17-752A181C4792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30" authorId="1" shapeId="0" xr:uid="{4A052D87-A452-4B50-8172-6CB4AE95F63A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30" authorId="1" shapeId="0" xr:uid="{EBA12427-8DBC-47E8-91D5-889A676BB778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31" authorId="1" shapeId="0" xr:uid="{CF777EA4-B01C-44D7-836F-CFA9281164FC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31" authorId="0" shapeId="0" xr:uid="{57708620-311F-4BC6-BE31-8371A4FA966C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31" authorId="1" shapeId="0" xr:uid="{682C4931-8950-4440-B42A-916FCDE2626A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31" authorId="1" shapeId="0" xr:uid="{6EAA0745-08F9-4E46-A816-9B206B9ED2F7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31" authorId="1" shapeId="0" xr:uid="{3EED015C-230E-4309-8A47-9101FD2B18AF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32" authorId="1" shapeId="0" xr:uid="{224127E4-214C-4450-8C51-5385EE29FA12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32" authorId="0" shapeId="0" xr:uid="{18257502-B0F0-4F1F-A06F-6281E26534AA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32" authorId="1" shapeId="0" xr:uid="{2B36357A-B1A9-44F9-AA35-8B6722311816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32" authorId="1" shapeId="0" xr:uid="{4E5A35CF-47F4-42E0-B264-BB20830901D0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32" authorId="1" shapeId="0" xr:uid="{18B5F829-761F-4228-A4C4-CDFE63D00C46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33" authorId="1" shapeId="0" xr:uid="{070F0B44-9E89-4CA2-9352-E1F1CD038D86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33" authorId="0" shapeId="0" xr:uid="{D23556DC-D719-459D-8FD0-F65616227AF7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33" authorId="1" shapeId="0" xr:uid="{D0845558-D599-41F6-BA56-495217793E86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33" authorId="1" shapeId="0" xr:uid="{585F96C9-F92C-489C-9D5C-6A346108C8EC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33" authorId="1" shapeId="0" xr:uid="{A955D1AB-C5BC-4964-8C12-87D7042A10E8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34" authorId="1" shapeId="0" xr:uid="{A868FBB9-D5FF-4EDE-9DEB-FDB995F767B9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34" authorId="0" shapeId="0" xr:uid="{C73488D0-3E28-4F74-998F-D9054DC04A5E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34" authorId="1" shapeId="0" xr:uid="{BB315927-EB66-4474-8FD0-75218584C244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34" authorId="1" shapeId="0" xr:uid="{42C81D0B-D489-450F-BE68-66570C9F4271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34" authorId="1" shapeId="0" xr:uid="{C405BC21-0D5C-4AEA-B240-9503541C4743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35" authorId="1" shapeId="0" xr:uid="{A727FA40-9892-4737-9E3F-A9A95E4906A3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35" authorId="0" shapeId="0" xr:uid="{51DEEC94-F510-4AB8-95CF-983BC6A2255B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35" authorId="1" shapeId="0" xr:uid="{48DBE25D-65FA-4A7A-8954-3B2C794C6A95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35" authorId="1" shapeId="0" xr:uid="{63796F67-9BD7-40C9-AB07-041F9085B8CB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35" authorId="1" shapeId="0" xr:uid="{F7D6EBA4-9E9A-45C9-8C6B-7F4606780F41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K36" authorId="1" shapeId="0" xr:uid="{2CB3CCD6-7879-4157-8C87-B841DFABF347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こちらに！マークが表示された場合、
いずれかを選択します。
１．残業（=残業代をもらいます）
２．振休（=どこかで振休します）
　→稼働時間が8h以上の時
３．半振休
　→稼働時間が4h以上8h未満の時</t>
        </r>
      </text>
    </comment>
    <comment ref="M36" authorId="0" shapeId="0" xr:uid="{AC60231A-9D1B-412D-BAF9-7B1A7947EFEB}">
      <text>
        <r>
          <rPr>
            <b/>
            <sz val="8"/>
            <color indexed="81"/>
            <rFont val="MS P ゴシック"/>
            <family val="3"/>
            <charset val="128"/>
          </rPr>
          <t>こちらに！マークが表示された場合、
１．営業日で勤怠が未入力
⇒ 出勤していない場合は「休暇選択」または
　「控除選択」（欠勤）のどちらかを選択してください
２．遅刻または早退
⇒ 右端の控除時間がある場合も「休暇選択」または
　「控除選択」（遅刻・早退）のどちらかを選択してください
　※事後でも有給休暇の申請、取得は可能です
３．変則勤務
⇒ 始業時刻または終業時刻の「確認内容」から変則申請済を
　選択してください。
　※変則勤務はワークフロー申請も必要です。</t>
        </r>
      </text>
    </comment>
    <comment ref="P36" authorId="1" shapeId="0" xr:uid="{CC39F908-F4CD-425C-986B-F3C56EED5916}">
      <text>
        <r>
          <rPr>
            <b/>
            <sz val="8"/>
            <color indexed="81"/>
            <rFont val="MS UI Gothic"/>
            <family val="3"/>
            <charset val="128"/>
          </rPr>
          <t xml:space="preserve">こちらに！マークが表示された場合は、
下記の理由のどれかです。
１．始業時刻がi-reco出勤より早い
　→始業時刻を修正してください。
２．直行した
　→確認内容に直行を選択してください。
３．押し忘れた（直行含む）
　→確認内容で押し忘れ(直行）を選択してください。
　　　※直行時も、訪問先から帰社時に打刻が必要です。
４．9時より早い打刻
　→掃除当番または変則勤務は、「確認内容」から選択してください。
　　　※変則勤務はワークフロー申請も必要です。
５．何も入力していない
　→出勤したのであれば、始業・終業・休憩を
　　お休みしたのであれば、休暇選択をお願いします
６．遅刻
　→時間有休を取得する場合は、「休暇選択」から選択
　　控除とする場合は、「控除・在宅」から選択
　　電車遅延または変則勤務は、「確認内容」から選択してください。
　　　※変則勤務はワークフロー申請も必要です。
現場の人は！のままでＯＫです。
</t>
        </r>
      </text>
    </comment>
    <comment ref="T36" authorId="1" shapeId="0" xr:uid="{2C4F57F0-CDC3-4603-BD96-38C31D920C02}">
      <text>
        <r>
          <rPr>
            <b/>
            <sz val="8"/>
            <color indexed="81"/>
            <rFont val="MS UI Gothic"/>
            <family val="3"/>
            <charset val="128"/>
          </rPr>
          <t>こちらに！マークが表示された場合は、
下記の理由のどれかです。
１．終業時刻がi-reco退勤より遅い
　→終業時刻を修正してください。
　　　※退勤打刻後に休憩時間を入れて就業時刻を入力するのもNGです。
２．直帰した
　→確認内容に直帰を選択してください。
３．押し忘れた（直帰含む）
　→確認内容で押し忘れ（直帰）を選択してください。
　　　※社外訪問後に直帰の際は、外出前に打刻が必要です。
４．20時より後の終業
　→確認内容で残業申請を選択してください。
　　　※ワークフローにて残業申請を提出願います。
５．早退
　→時間有休を取得する場合は、「休暇選択」から選択
　　控除とする場合は、「控除・在宅」から選択してください。
　　変則勤務は、「確認内容」から選択してください。
　　　※変則勤務はワークフロー申請も必要です。
現場の人は！のままでＯＫです。</t>
        </r>
      </text>
    </comment>
    <comment ref="W36" authorId="1" shapeId="0" xr:uid="{08437CE1-A978-48A8-A9A3-36701C2B8830}">
      <text>
        <r>
          <rPr>
            <b/>
            <sz val="8"/>
            <color indexed="81"/>
            <rFont val="ＭＳ Ｐゴシック"/>
            <family val="3"/>
            <charset val="128"/>
          </rPr>
          <t>こちらに！マークが表示された場合は、
下記の理由のどれかです。
１．昼休憩を入力していない
　→昼休憩していなければそのままで。
２．8時間以上稼動したときに休憩を加算していない
　→適切な休憩時間を付与してください。
　　※掃除当番の場合のみ、9:00勤務開始として計算
　　※休日出勤など緊急対応時は例外とする
３．22時以降に稼動したときに休憩を加算していない
　→適切な休憩時間を付与してください。
　　※休日出勤など緊急対応時は例外とする
４．現場の人は、現場ルールに準じてＯＫ</t>
        </r>
      </text>
    </comment>
    <comment ref="AG37" authorId="0" shapeId="0" xr:uid="{0919229B-B70B-4645-9AD5-6D7B85216E84}">
      <text>
        <r>
          <rPr>
            <b/>
            <sz val="11"/>
            <color indexed="81"/>
            <rFont val="MS P ゴシック"/>
            <family val="3"/>
            <charset val="128"/>
          </rPr>
          <t xml:space="preserve">【①稼働時間合計】
</t>
        </r>
        <r>
          <rPr>
            <b/>
            <sz val="9"/>
            <color indexed="81"/>
            <rFont val="MS P ゴシック"/>
            <family val="3"/>
            <charset val="128"/>
          </rPr>
          <t>各日の稼働時間の累計となります。
累計の10分未満は切り捨てます。</t>
        </r>
        <r>
          <rPr>
            <b/>
            <sz val="11"/>
            <color indexed="81"/>
            <rFont val="MS P ゴシック"/>
            <family val="3"/>
            <charset val="128"/>
          </rPr>
          <t xml:space="preserve">
</t>
        </r>
      </text>
    </comment>
    <comment ref="AH37" authorId="0" shapeId="0" xr:uid="{34263FE3-55DF-4643-93B5-E2ED6125F17F}">
      <text>
        <r>
          <rPr>
            <b/>
            <sz val="11"/>
            <color indexed="81"/>
            <rFont val="MS P ゴシック"/>
            <family val="3"/>
            <charset val="128"/>
          </rPr>
          <t>【②控除時間合計】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各日の控除時間（欠勤・遅刻・早退）の
累計となります。
累計の10分未満は切り上げます。</t>
        </r>
      </text>
    </comment>
    <comment ref="V38" authorId="0" shapeId="0" xr:uid="{1BF3CC3D-5E76-407E-8250-02735F345574}">
      <text>
        <r>
          <rPr>
            <b/>
            <sz val="11"/>
            <color indexed="81"/>
            <rFont val="MS P ゴシック"/>
            <family val="3"/>
            <charset val="128"/>
          </rPr>
          <t>【④下限時間】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1日の所定労働時間×営業日数　となります。
フレックス勤務の場合も、この時間以上
勤務する必要があります。</t>
        </r>
      </text>
    </comment>
    <comment ref="AG38" authorId="0" shapeId="0" xr:uid="{796FE748-DDA4-4B40-A54F-C4F00AED4DDE}">
      <text>
        <r>
          <rPr>
            <b/>
            <sz val="11"/>
            <color indexed="81"/>
            <rFont val="MS P ゴシック"/>
            <family val="3"/>
            <charset val="128"/>
          </rPr>
          <t>【③月間勤務時間】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①稼働時間合計に、有休、振休を
考慮した時間となります。</t>
        </r>
      </text>
    </comment>
    <comment ref="V39" authorId="0" shapeId="0" xr:uid="{C8007793-2729-43D6-96F4-DB73E64AFF9E}">
      <text>
        <r>
          <rPr>
            <b/>
            <sz val="11"/>
            <color indexed="81"/>
            <rFont val="MS P ゴシック"/>
            <family val="3"/>
            <charset val="128"/>
          </rPr>
          <t xml:space="preserve">【⑤下限割れ時間】
</t>
        </r>
        <r>
          <rPr>
            <b/>
            <sz val="9"/>
            <color indexed="81"/>
            <rFont val="MS P ゴシック"/>
            <family val="3"/>
            <charset val="128"/>
          </rPr>
          <t>③月間勤務時間＋②控除時間合計 が ④下限時間 に
達していない場合、その差が表示されます。</t>
        </r>
      </text>
    </comment>
    <comment ref="V40" authorId="0" shapeId="0" xr:uid="{5B17CE2E-2C57-4CB4-BBA6-89A2344211B3}">
      <text>
        <r>
          <rPr>
            <b/>
            <sz val="9"/>
            <color indexed="81"/>
            <rFont val="MS P ゴシック"/>
            <family val="3"/>
            <charset val="128"/>
          </rPr>
          <t>下限割れ時間（勤務時間の不足分）は
時間有休で補填できます。
その場合、この欄に1時間単位（3:00など）で
取得する時間有休の時間数を入力してください。</t>
        </r>
      </text>
    </comment>
    <comment ref="AG40" authorId="0" shapeId="0" xr:uid="{80036451-F2FB-4EC0-B8A1-4EA7893DA2F5}">
      <text>
        <r>
          <rPr>
            <b/>
            <sz val="11"/>
            <color indexed="81"/>
            <rFont val="MS P ゴシック"/>
            <family val="3"/>
            <charset val="128"/>
          </rPr>
          <t xml:space="preserve">【⑥合計時間】
</t>
        </r>
        <r>
          <rPr>
            <b/>
            <sz val="9"/>
            <color indexed="81"/>
            <rFont val="MS P ゴシック"/>
            <family val="3"/>
            <charset val="128"/>
          </rPr>
          <t>最終的な勤務時間となります。
③月間勤務時間 に 補填分の時間有休を
加えた時間です。</t>
        </r>
      </text>
    </comment>
    <comment ref="AH40" authorId="0" shapeId="0" xr:uid="{E54B9770-EBAD-4A79-94C5-D58C095FA517}">
      <text>
        <r>
          <rPr>
            <b/>
            <sz val="11"/>
            <color indexed="81"/>
            <rFont val="MS P ゴシック"/>
            <family val="3"/>
            <charset val="128"/>
          </rPr>
          <t>【控除時間合計】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下限割れ時間を補填しなかった場合、
②控除時間の合計 に ⑤下限割れ時間 を
加えた時間となります。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岸本　慎介</author>
  </authors>
  <commentList>
    <comment ref="A1" authorId="0" shapeId="0" xr:uid="{1D384A04-EC89-47BA-A901-90455F23EC11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A1セルに社員番号、B1セルに氏名を
入力してください。
</t>
        </r>
      </text>
    </comment>
    <comment ref="C1" authorId="0" shapeId="0" xr:uid="{5B1E3B92-81BA-48DB-85E0-79EBBECD0466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■社内勤務・在宅勤務の人（F-Chair+を使っている人）
　①F-Chair+ から、前月と今月の在席データをダウンロードします。
　　⇒ https://fchair-plus.jp/ から、「ログイン」リンク押下してログイン
　　⇒ 日付の上部の「月次集計」をクリック
　　⇒ 一覧から自分の名前をクリック
　　⇒ 前月及び今月の「在席データCSV」ボタンをクリックしてダウンロード
　②前月と今月の在席データを、C1セルに貼り付けます。
　　⇒ 期間外のデータ（前月15日以前、今月16日以降）があっても構いません。
　　⇒ 1日に2行以上のデータがあっても、そのまま貼り付けて構いません。
　　　（自動的に最初と最後の時刻が勤務表に転記されます）
■現場の人（F-Chair+を使っていない人）
　A1セルに社員番号、B1セルに氏名、C1セルに開始日を入力します。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岸本　慎介</author>
  </authors>
  <commentList>
    <comment ref="A1" authorId="0" shapeId="0" xr:uid="{9D4F24B6-161E-4D2A-A27D-3D9BEA301432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■社内勤務の人
└iPRoを使っていない人　または
└iPRoから勤務表を出力（iPRoにi-recoデータは取込んでいない）
　i-recoデータをA1セルに貼り付けます。
└iPRoから勤務表を出力（iPRoにi-recoデータを取込んだ）
　なにもしない。　
■現場の人
└途中で社内→現場（現場→社内）になった
　i-recoデータをA1セルに貼り付けます。
└期間内がすべて現場です
　A1セルに社員番号、B1セルに氏名、C1セルに開始日
　を入力します。
</t>
        </r>
      </text>
    </comment>
  </commentList>
</comments>
</file>

<file path=xl/sharedStrings.xml><?xml version="1.0" encoding="utf-8"?>
<sst xmlns="http://schemas.openxmlformats.org/spreadsheetml/2006/main" count="162" uniqueCount="130">
  <si>
    <t>有給</t>
    <rPh sb="0" eb="2">
      <t>ユウキュウ</t>
    </rPh>
    <phoneticPr fontId="1"/>
  </si>
  <si>
    <t>出勤日数</t>
    <rPh sb="0" eb="2">
      <t>シュッキン</t>
    </rPh>
    <rPh sb="2" eb="4">
      <t>ニッスウ</t>
    </rPh>
    <phoneticPr fontId="1"/>
  </si>
  <si>
    <t>振休</t>
    <rPh sb="0" eb="1">
      <t>フリ</t>
    </rPh>
    <rPh sb="1" eb="2">
      <t>キュウ</t>
    </rPh>
    <phoneticPr fontId="1"/>
  </si>
  <si>
    <t>振休取得</t>
    <rPh sb="0" eb="1">
      <t>フリ</t>
    </rPh>
    <rPh sb="1" eb="2">
      <t>キュウ</t>
    </rPh>
    <rPh sb="2" eb="4">
      <t>シュトク</t>
    </rPh>
    <phoneticPr fontId="1"/>
  </si>
  <si>
    <t>時間振休</t>
    <rPh sb="0" eb="2">
      <t>ジカン</t>
    </rPh>
    <rPh sb="2" eb="4">
      <t>フリキュウ</t>
    </rPh>
    <phoneticPr fontId="1"/>
  </si>
  <si>
    <t>欠勤</t>
    <rPh sb="0" eb="2">
      <t>ケッキン</t>
    </rPh>
    <phoneticPr fontId="1"/>
  </si>
  <si>
    <t>慶弔</t>
    <rPh sb="0" eb="2">
      <t>ケイチョウ</t>
    </rPh>
    <phoneticPr fontId="1"/>
  </si>
  <si>
    <t>その他</t>
    <rPh sb="2" eb="3">
      <t>タ</t>
    </rPh>
    <phoneticPr fontId="1"/>
  </si>
  <si>
    <t>備考</t>
    <rPh sb="0" eb="2">
      <t>ビコウ</t>
    </rPh>
    <phoneticPr fontId="1"/>
  </si>
  <si>
    <t>始業
時刻</t>
    <rPh sb="0" eb="2">
      <t>シギョウ</t>
    </rPh>
    <rPh sb="3" eb="5">
      <t>ジコク</t>
    </rPh>
    <phoneticPr fontId="1"/>
  </si>
  <si>
    <t>終業
時刻</t>
    <rPh sb="0" eb="2">
      <t>シュウギョウ</t>
    </rPh>
    <rPh sb="3" eb="5">
      <t>ジコク</t>
    </rPh>
    <phoneticPr fontId="1"/>
  </si>
  <si>
    <t>休出
選択</t>
    <rPh sb="0" eb="1">
      <t>キュウ</t>
    </rPh>
    <rPh sb="1" eb="2">
      <t>シュツ</t>
    </rPh>
    <rPh sb="3" eb="5">
      <t>センタク</t>
    </rPh>
    <phoneticPr fontId="1"/>
  </si>
  <si>
    <t>休暇
選択</t>
    <rPh sb="0" eb="2">
      <t>キュウカ</t>
    </rPh>
    <rPh sb="3" eb="5">
      <t>センタク</t>
    </rPh>
    <phoneticPr fontId="1"/>
  </si>
  <si>
    <t>確認
内容</t>
    <rPh sb="0" eb="2">
      <t>カクニン</t>
    </rPh>
    <rPh sb="3" eb="5">
      <t>ナイヨウ</t>
    </rPh>
    <phoneticPr fontId="1"/>
  </si>
  <si>
    <t>平日
深夜</t>
    <rPh sb="0" eb="2">
      <t>ヘイジツ</t>
    </rPh>
    <rPh sb="3" eb="5">
      <t>シンヤ</t>
    </rPh>
    <phoneticPr fontId="1"/>
  </si>
  <si>
    <t>休日
時間</t>
    <rPh sb="0" eb="2">
      <t>キュウジツ</t>
    </rPh>
    <rPh sb="3" eb="5">
      <t>ジカン</t>
    </rPh>
    <phoneticPr fontId="1"/>
  </si>
  <si>
    <t>休日
深夜</t>
    <rPh sb="0" eb="2">
      <t>キュウジツ</t>
    </rPh>
    <rPh sb="3" eb="5">
      <t>シンヤ</t>
    </rPh>
    <phoneticPr fontId="1"/>
  </si>
  <si>
    <t>残業</t>
    <rPh sb="0" eb="2">
      <t>ザンギョウ</t>
    </rPh>
    <phoneticPr fontId="1"/>
  </si>
  <si>
    <t>累計</t>
    <rPh sb="0" eb="2">
      <t>ルイケイ</t>
    </rPh>
    <phoneticPr fontId="1"/>
  </si>
  <si>
    <t>小計</t>
    <rPh sb="0" eb="2">
      <t>ショウケイ</t>
    </rPh>
    <phoneticPr fontId="1"/>
  </si>
  <si>
    <t>休憩</t>
    <rPh sb="0" eb="2">
      <t>キュウケイ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</si>
  <si>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</si>
  <si>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</si>
  <si>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</si>
  <si>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</si>
  <si>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昼</t>
    <rPh sb="0" eb="1">
      <t>ヒル</t>
    </rPh>
    <phoneticPr fontId="1"/>
  </si>
  <si>
    <t>定時</t>
    <rPh sb="0" eb="2">
      <t>テイジ</t>
    </rPh>
    <phoneticPr fontId="1"/>
  </si>
  <si>
    <t>深夜</t>
    <rPh sb="0" eb="2">
      <t>シンヤ</t>
    </rPh>
    <phoneticPr fontId="1"/>
  </si>
  <si>
    <t>入力欄</t>
    <rPh sb="0" eb="2">
      <t>ニュウリョク</t>
    </rPh>
    <rPh sb="2" eb="3">
      <t>ラン</t>
    </rPh>
    <phoneticPr fontId="1"/>
  </si>
  <si>
    <t>i-reco
出勤</t>
    <rPh sb="7" eb="9">
      <t>シュッキン</t>
    </rPh>
    <phoneticPr fontId="1"/>
  </si>
  <si>
    <t>i-reco
退勤</t>
    <rPh sb="7" eb="9">
      <t>タイキン</t>
    </rPh>
    <phoneticPr fontId="1"/>
  </si>
  <si>
    <t>**employeeNo</t>
    <phoneticPr fontId="1"/>
  </si>
  <si>
    <t>**workingDate</t>
  </si>
  <si>
    <t>**remarks</t>
  </si>
  <si>
    <t>h</t>
    <phoneticPr fontId="1"/>
  </si>
  <si>
    <t>m</t>
    <phoneticPr fontId="1"/>
  </si>
  <si>
    <t>**allowedCostHour</t>
    <phoneticPr fontId="1"/>
  </si>
  <si>
    <t>**allowedCostMinute</t>
    <phoneticPr fontId="1"/>
  </si>
  <si>
    <t>**irecoStartHour</t>
    <phoneticPr fontId="1"/>
  </si>
  <si>
    <t>**irecoStartMinute</t>
    <phoneticPr fontId="1"/>
  </si>
  <si>
    <t>**iproStartHour</t>
    <phoneticPr fontId="1"/>
  </si>
  <si>
    <t>**iproStartMinute</t>
    <phoneticPr fontId="1"/>
  </si>
  <si>
    <t>**restHour</t>
    <phoneticPr fontId="1"/>
  </si>
  <si>
    <t>**restMinute</t>
    <phoneticPr fontId="1"/>
  </si>
  <si>
    <t>**irecoEndHour</t>
    <phoneticPr fontId="1"/>
  </si>
  <si>
    <t>**irecoEndMinute</t>
    <phoneticPr fontId="1"/>
  </si>
  <si>
    <t>**iproEndHour</t>
    <phoneticPr fontId="1"/>
  </si>
  <si>
    <t>**iproEndMinute</t>
    <phoneticPr fontId="1"/>
  </si>
  <si>
    <t>休暇選択</t>
    <rPh sb="0" eb="2">
      <t>キュウカ</t>
    </rPh>
    <rPh sb="2" eb="4">
      <t>センタク</t>
    </rPh>
    <phoneticPr fontId="1"/>
  </si>
  <si>
    <t>**attendanceType</t>
    <phoneticPr fontId="1"/>
  </si>
  <si>
    <t>参照用</t>
    <rPh sb="0" eb="3">
      <t>サンショウヨウ</t>
    </rPh>
    <phoneticPr fontId="1"/>
  </si>
  <si>
    <t>有休</t>
    <rPh sb="0" eb="2">
      <t>ユウキュウ</t>
    </rPh>
    <phoneticPr fontId="1"/>
  </si>
  <si>
    <t>時間有休</t>
    <rPh sb="0" eb="2">
      <t>ジカン</t>
    </rPh>
    <rPh sb="2" eb="4">
      <t>ユウキュウ</t>
    </rPh>
    <phoneticPr fontId="1"/>
  </si>
  <si>
    <t>**groupName</t>
    <phoneticPr fontId="1"/>
  </si>
  <si>
    <t>**isPublicHoliday</t>
    <phoneticPr fontId="1"/>
  </si>
  <si>
    <t>全有休</t>
    <rPh sb="0" eb="1">
      <t>ゼン</t>
    </rPh>
    <rPh sb="1" eb="3">
      <t>ユウキュウ</t>
    </rPh>
    <phoneticPr fontId="1"/>
  </si>
  <si>
    <t>有休
時間</t>
    <rPh sb="0" eb="2">
      <t>ユウキュウ</t>
    </rPh>
    <rPh sb="3" eb="5">
      <t>ジカン</t>
    </rPh>
    <phoneticPr fontId="1"/>
  </si>
  <si>
    <t>全振休</t>
    <rPh sb="0" eb="1">
      <t>ゼン</t>
    </rPh>
    <rPh sb="1" eb="3">
      <t>フリキュウ</t>
    </rPh>
    <phoneticPr fontId="1"/>
  </si>
  <si>
    <t>振休
時間</t>
    <rPh sb="0" eb="2">
      <t>フリキュウ</t>
    </rPh>
    <rPh sb="3" eb="5">
      <t>ジカン</t>
    </rPh>
    <phoneticPr fontId="1"/>
  </si>
  <si>
    <t>振休
取得</t>
    <rPh sb="0" eb="2">
      <t>フリキュウ</t>
    </rPh>
    <rPh sb="3" eb="5">
      <t>シュトク</t>
    </rPh>
    <phoneticPr fontId="1"/>
  </si>
  <si>
    <t>←振休取得時間</t>
    <rPh sb="1" eb="3">
      <t>フリキュウ</t>
    </rPh>
    <rPh sb="3" eb="5">
      <t>シュトク</t>
    </rPh>
    <rPh sb="5" eb="7">
      <t>ジカン</t>
    </rPh>
    <phoneticPr fontId="1"/>
  </si>
  <si>
    <t>控除・
在宅</t>
    <rPh sb="0" eb="2">
      <t>コウジョ</t>
    </rPh>
    <rPh sb="4" eb="6">
      <t>ザイタク</t>
    </rPh>
    <phoneticPr fontId="1"/>
  </si>
  <si>
    <t>所属</t>
    <rPh sb="0" eb="2">
      <t>ショゾク</t>
    </rPh>
    <phoneticPr fontId="1"/>
  </si>
  <si>
    <t>拠点</t>
    <rPh sb="0" eb="2">
      <t>キョテン</t>
    </rPh>
    <phoneticPr fontId="1"/>
  </si>
  <si>
    <t>確認内容（出）</t>
    <rPh sb="0" eb="2">
      <t>カクニン</t>
    </rPh>
    <rPh sb="2" eb="4">
      <t>ナイヨウ</t>
    </rPh>
    <rPh sb="5" eb="6">
      <t>デ</t>
    </rPh>
    <phoneticPr fontId="1"/>
  </si>
  <si>
    <t>確認内容（退）</t>
    <rPh sb="0" eb="2">
      <t>カクニン</t>
    </rPh>
    <rPh sb="2" eb="4">
      <t>ナイヨウ</t>
    </rPh>
    <rPh sb="5" eb="6">
      <t>タイ</t>
    </rPh>
    <phoneticPr fontId="1"/>
  </si>
  <si>
    <t>直行</t>
    <rPh sb="0" eb="2">
      <t>チョッコウ</t>
    </rPh>
    <phoneticPr fontId="1"/>
  </si>
  <si>
    <t>直帰</t>
    <rPh sb="0" eb="2">
      <t>チョッキ</t>
    </rPh>
    <phoneticPr fontId="1"/>
  </si>
  <si>
    <t>打刻忘れ</t>
    <rPh sb="0" eb="2">
      <t>ダコク</t>
    </rPh>
    <rPh sb="2" eb="3">
      <t>ワス</t>
    </rPh>
    <phoneticPr fontId="1"/>
  </si>
  <si>
    <t>別場所打刻</t>
    <rPh sb="0" eb="1">
      <t>ベツ</t>
    </rPh>
    <rPh sb="1" eb="3">
      <t>バショ</t>
    </rPh>
    <rPh sb="3" eb="5">
      <t>ダコク</t>
    </rPh>
    <phoneticPr fontId="1"/>
  </si>
  <si>
    <t>電車遅延</t>
    <rPh sb="0" eb="2">
      <t>デンシャ</t>
    </rPh>
    <rPh sb="2" eb="4">
      <t>チエン</t>
    </rPh>
    <phoneticPr fontId="1"/>
  </si>
  <si>
    <t>掃除当番</t>
    <rPh sb="0" eb="2">
      <t>ソウジ</t>
    </rPh>
    <rPh sb="2" eb="4">
      <t>トウバン</t>
    </rPh>
    <phoneticPr fontId="1"/>
  </si>
  <si>
    <t>備考に記載</t>
    <rPh sb="0" eb="2">
      <t>ビコウ</t>
    </rPh>
    <rPh sb="3" eb="5">
      <t>キサイ</t>
    </rPh>
    <phoneticPr fontId="1"/>
  </si>
  <si>
    <t>①稼働
時間</t>
  </si>
  <si>
    <t>②控除
時間</t>
  </si>
  <si>
    <t>③月間勤務時間</t>
    <rPh sb="1" eb="3">
      <t>ゲッカン</t>
    </rPh>
    <rPh sb="3" eb="5">
      <t>キンム</t>
    </rPh>
    <rPh sb="5" eb="7">
      <t>ジカン</t>
    </rPh>
    <phoneticPr fontId="1"/>
  </si>
  <si>
    <t>⑥合計時間</t>
    <rPh sb="1" eb="3">
      <t>ゴウケイ</t>
    </rPh>
    <rPh sb="3" eb="5">
      <t>ジカン</t>
    </rPh>
    <phoneticPr fontId="1"/>
  </si>
  <si>
    <t>④下限時間</t>
    <rPh sb="1" eb="3">
      <t>カゲン</t>
    </rPh>
    <rPh sb="3" eb="5">
      <t>ジカン</t>
    </rPh>
    <phoneticPr fontId="1"/>
  </si>
  <si>
    <t>⑤下限割れ時間</t>
    <rPh sb="1" eb="3">
      <t>カゲン</t>
    </rPh>
    <rPh sb="3" eb="4">
      <t>ワ</t>
    </rPh>
    <rPh sb="5" eb="7">
      <t>ジカン</t>
    </rPh>
    <phoneticPr fontId="1"/>
  </si>
  <si>
    <t>※不足分を時間有休で補填する場合、その時間を入力してください⇒</t>
    <rPh sb="1" eb="3">
      <t>フソク</t>
    </rPh>
    <rPh sb="3" eb="4">
      <t>ブン</t>
    </rPh>
    <rPh sb="5" eb="7">
      <t>ジカン</t>
    </rPh>
    <rPh sb="7" eb="9">
      <t>ユウキュウ</t>
    </rPh>
    <rPh sb="10" eb="12">
      <t>ホテン</t>
    </rPh>
    <rPh sb="14" eb="16">
      <t>バアイ</t>
    </rPh>
    <rPh sb="19" eb="21">
      <t>ジカン</t>
    </rPh>
    <rPh sb="22" eb="24">
      <t>ニュウリョク</t>
    </rPh>
    <phoneticPr fontId="1"/>
  </si>
  <si>
    <t>営業日</t>
    <rPh sb="0" eb="3">
      <t>エイギョウビ</t>
    </rPh>
    <phoneticPr fontId="1"/>
  </si>
  <si>
    <t>電車
遅延</t>
    <rPh sb="0" eb="2">
      <t>デンシャ</t>
    </rPh>
    <rPh sb="3" eb="5">
      <t>チエン</t>
    </rPh>
    <phoneticPr fontId="1"/>
  </si>
  <si>
    <t>控除
時間</t>
    <rPh sb="0" eb="2">
      <t>コウジョ</t>
    </rPh>
    <rPh sb="3" eb="5">
      <t>ジカン</t>
    </rPh>
    <phoneticPr fontId="1"/>
  </si>
  <si>
    <t>**employeeName</t>
  </si>
  <si>
    <t>**groupName</t>
  </si>
  <si>
    <t>所属：</t>
    <rPh sb="0" eb="2">
      <t>ショゾク</t>
    </rPh>
    <phoneticPr fontId="1"/>
  </si>
  <si>
    <t>在宅：</t>
    <rPh sb="0" eb="2">
      <t>ザイタク</t>
    </rPh>
    <phoneticPr fontId="1"/>
  </si>
  <si>
    <t>氏名：</t>
    <rPh sb="0" eb="2">
      <t>シメイ</t>
    </rPh>
    <phoneticPr fontId="1"/>
  </si>
  <si>
    <t>ﾌﾚｯｸｽ:</t>
    <phoneticPr fontId="1"/>
  </si>
  <si>
    <t>事業開発Gr</t>
  </si>
  <si>
    <t>ITﾌﾛﾝﾃｨｱGr</t>
  </si>
  <si>
    <t>ITﾏｰｹﾃｨﾝｸﾞGr</t>
  </si>
  <si>
    <t>営業戦略Gr</t>
  </si>
  <si>
    <t>RPADiv</t>
  </si>
  <si>
    <t>UI/UXﾃﾞｻﾞｲﾝGr</t>
  </si>
  <si>
    <t>WEB戦略Gr</t>
  </si>
  <si>
    <t>企画ﾏｰｹﾃｨﾝｸﾞ部</t>
  </si>
  <si>
    <t>※協力会社</t>
  </si>
  <si>
    <t>ｽﾏｰﾄﾃﾞﾊﾞｲｽｿﾘｭｰｼｮﾝGr</t>
  </si>
  <si>
    <t>ｴﾝﾀｰﾌﾟﾗｲｽﾞｿﾘｭｰｼｮﾝGr</t>
  </si>
  <si>
    <t>企画-善左エ門</t>
  </si>
  <si>
    <t>ｸﾗｳﾄﾞｿﾘｭｰｼｮﾝGr</t>
  </si>
  <si>
    <t>R&amp;DDiv</t>
  </si>
  <si>
    <t>管理本部</t>
  </si>
  <si>
    <t>ｼｽﾃﾑ開発本部</t>
  </si>
  <si>
    <t>品質管理Div</t>
  </si>
  <si>
    <t>残業申請済</t>
    <rPh sb="0" eb="2">
      <t>ザンギョウ</t>
    </rPh>
    <rPh sb="2" eb="4">
      <t>シンセイ</t>
    </rPh>
    <rPh sb="4" eb="5">
      <t>ズ</t>
    </rPh>
    <phoneticPr fontId="1"/>
  </si>
  <si>
    <t>変則申請済</t>
    <rPh sb="0" eb="2">
      <t>ヘンソク</t>
    </rPh>
    <rPh sb="2" eb="4">
      <t>シンセイ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</si>
  <si>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</si>
  <si>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</si>
  <si>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F-出勤</t>
    <rPh sb="2" eb="4">
      <t>シュッキン</t>
    </rPh>
    <phoneticPr fontId="1"/>
  </si>
  <si>
    <t>F-退勤</t>
    <rPh sb="2" eb="4">
      <t>タイキン</t>
    </rPh>
    <phoneticPr fontId="1"/>
  </si>
  <si>
    <t>i-出勤</t>
    <rPh sb="2" eb="4">
      <t>シュッキン</t>
    </rPh>
    <phoneticPr fontId="1"/>
  </si>
  <si>
    <t>i-退勤</t>
    <rPh sb="2" eb="4">
      <t>タイキン</t>
    </rPh>
    <phoneticPr fontId="1"/>
  </si>
  <si>
    <t>F-期間</t>
    <rPh sb="2" eb="4">
      <t>キカン</t>
    </rPh>
    <phoneticPr fontId="1"/>
  </si>
  <si>
    <t>i-期間</t>
    <rPh sb="2" eb="4">
      <t>キカン</t>
    </rPh>
    <phoneticPr fontId="1"/>
  </si>
  <si>
    <t>Your Name</t>
  </si>
  <si>
    <t>F-Chair+全員在席データ.xlsx</t>
    <phoneticPr fontId="1"/>
  </si>
  <si>
    <t>拠点：</t>
  </si>
  <si>
    <t>**branch</t>
  </si>
  <si>
    <t>**branch</t>
    <phoneticPr fontId="1"/>
  </si>
  <si>
    <t>東京本社</t>
    <rPh sb="0" eb="2">
      <t>トウキョウ</t>
    </rPh>
    <rPh sb="2" eb="4">
      <t>ホンシャ</t>
    </rPh>
    <phoneticPr fontId="1"/>
  </si>
  <si>
    <t>大阪支店</t>
    <rPh sb="0" eb="2">
      <t>オオサカ</t>
    </rPh>
    <rPh sb="2" eb="4">
      <t>シテン</t>
    </rPh>
    <phoneticPr fontId="1"/>
  </si>
  <si>
    <t>福岡支店</t>
    <rPh sb="0" eb="2">
      <t>フクオカ</t>
    </rPh>
    <rPh sb="2" eb="4">
      <t>シテン</t>
    </rPh>
    <phoneticPr fontId="1"/>
  </si>
  <si>
    <t>札幌支店</t>
    <rPh sb="0" eb="2">
      <t>サッポロ</t>
    </rPh>
    <rPh sb="2" eb="4">
      <t>シテン</t>
    </rPh>
    <phoneticPr fontId="1"/>
  </si>
  <si>
    <t>仙台支店</t>
    <rPh sb="0" eb="2">
      <t>センダイ</t>
    </rPh>
    <rPh sb="2" eb="4">
      <t>シテン</t>
    </rPh>
    <phoneticPr fontId="1"/>
  </si>
  <si>
    <t>沖縄支店</t>
    <rPh sb="0" eb="2">
      <t>オキナワ</t>
    </rPh>
    <rPh sb="2" eb="4">
      <t>シテン</t>
    </rPh>
    <phoneticPr fontId="1"/>
  </si>
  <si>
    <t>北見ｻﾃﾗｲﾄ</t>
    <rPh sb="0" eb="2">
      <t>キタミ</t>
    </rPh>
    <phoneticPr fontId="1"/>
  </si>
  <si>
    <t>その他</t>
    <rPh sb="2" eb="3">
      <t>タ</t>
    </rPh>
    <phoneticPr fontId="1"/>
  </si>
  <si>
    <t>**hireDate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</si>
</sst>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76" formatCode="m&quot;月&quot;d&quot;日&quot;\(aaa\)"/>
    <numFmt numFmtId="177" formatCode="[$-F400]h:mm:ss\ AM/PM"/>
    <numFmt numFmtId="178" formatCode="[h]:mm"/>
    <numFmt numFmtId="179" formatCode="mm&quot;月&quot;dd&quot;日&quot;\(aaa\)"/>
    <numFmt numFmtId="180" formatCode="0&quot;日&quot;"/>
    <numFmt numFmtId="181" formatCode="0.0&quot;日&quot;"/>
    <numFmt numFmtId="182" formatCode="h:mm;@"/>
    <numFmt numFmtId="183" formatCode="yyyy&quot;年&quot;m&quot;月度&quot;"/>
    <numFmt numFmtId="184" formatCode="m/dd\(aaa\)\ "/>
    <numFmt numFmtId="185" formatCode="00"/>
    <numFmt numFmtId="186" formatCode="\※&quot;深&quot;&quot;夜&quot;&quot;残&quot;&quot;業&quot;&quot;は22:00～&quot;[h]:mm&quot;で&quot;&quot;す。&quot;"/>
    <numFmt numFmtId="187" formatCode="&quot;社&quot;&quot;員&quot;&quot;番&quot;&quot;号&quot;\:@"/>
    <numFmt numFmtId="188" formatCode="\-[h]:mm"/>
    <numFmt numFmtId="189" formatCode="&quot;【&quot;0&quot;時間勤務用】&quot;"/>
    <numFmt numFmtId="190" formatCode="&quot;社&quot;&quot;員&quot;&quot;番&quot;&quot;号&quot;&quot;：&quot;General"/>
    <numFmt numFmtId="191" formatCode="&quot;Ver.&quot;yymmdd"/>
    <numFmt numFmtId="192" formatCode="[h]&quot;ｈ&quot;"/>
  </numFmts>
  <fonts count="2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8"/>
      <color indexed="81"/>
      <name val="ＭＳ Ｐゴシック"/>
      <family val="3"/>
      <charset val="128"/>
    </font>
    <font>
      <b/>
      <sz val="8"/>
      <color indexed="81"/>
      <name val="MS UI Gothic"/>
      <family val="3"/>
      <charset val="128"/>
    </font>
    <font>
      <sz val="8"/>
      <color indexed="81"/>
      <name val="ＭＳ Ｐゴシック"/>
      <family val="3"/>
      <charset val="128"/>
    </font>
    <font>
      <b/>
      <sz val="12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0" tint="-0.14999847407452621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theme="1"/>
      <name val="HGS行書体"/>
      <family val="4"/>
      <charset val="128"/>
    </font>
    <font>
      <sz val="11"/>
      <color theme="1"/>
      <name val="MS UI Gothic"/>
      <family val="3"/>
      <charset val="128"/>
    </font>
    <font>
      <sz val="12"/>
      <color theme="1"/>
      <name val="ＭＳ ゴシック"/>
      <family val="3"/>
      <charset val="128"/>
    </font>
    <font>
      <b/>
      <sz val="11"/>
      <color rgb="FF3333FF"/>
      <name val="ＭＳ ゴシック"/>
      <family val="3"/>
      <charset val="128"/>
    </font>
    <font>
      <sz val="11"/>
      <color rgb="FF3333FF"/>
      <name val="ＭＳ ゴシック"/>
      <family val="3"/>
      <charset val="128"/>
    </font>
    <font>
      <sz val="8"/>
      <color rgb="FF3333FF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b/>
      <sz val="8"/>
      <color indexed="81"/>
      <name val="MS P ゴシック"/>
      <family val="3"/>
      <charset val="128"/>
    </font>
    <font>
      <b/>
      <sz val="11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6"/>
      <color theme="0" tint="-0.499984740745262"/>
      <name val="ＭＳ 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gradientFill degree="90">
        <stop position="0">
          <color theme="8" tint="-0.25098422193060094"/>
        </stop>
        <stop position="1">
          <color theme="8" tint="-0.49803155613879818"/>
        </stop>
      </gradientFill>
    </fill>
  </fills>
  <borders count="48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double">
        <color indexed="64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double">
        <color indexed="64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double">
        <color indexed="6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double">
        <color indexed="64"/>
      </top>
      <bottom style="thin">
        <color theme="6"/>
      </bottom>
      <diagonal/>
    </border>
    <border>
      <left/>
      <right/>
      <top style="double">
        <color indexed="64"/>
      </top>
      <bottom style="thin">
        <color theme="6"/>
      </bottom>
      <diagonal/>
    </border>
    <border>
      <left/>
      <right style="thin">
        <color theme="6"/>
      </right>
      <top style="double">
        <color indexed="64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n">
        <color theme="6"/>
      </right>
      <top style="thick">
        <color rgb="FF0070C0"/>
      </top>
      <bottom style="thick">
        <color rgb="FF0070C0"/>
      </bottom>
      <diagonal/>
    </border>
    <border>
      <left style="thin">
        <color theme="6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theme="6"/>
      </left>
      <right style="thick">
        <color rgb="FF3333FF"/>
      </right>
      <top style="thin">
        <color theme="6"/>
      </top>
      <bottom style="double">
        <color indexed="64"/>
      </bottom>
      <diagonal/>
    </border>
    <border>
      <left/>
      <right style="thick">
        <color rgb="FF3333FF"/>
      </right>
      <top style="thin">
        <color theme="6"/>
      </top>
      <bottom/>
      <diagonal/>
    </border>
    <border>
      <left/>
      <right style="thick">
        <color rgb="FF3333FF"/>
      </right>
      <top/>
      <bottom style="thin">
        <color theme="6"/>
      </bottom>
      <diagonal/>
    </border>
    <border>
      <left style="thin">
        <color theme="6"/>
      </left>
      <right style="thick">
        <color rgb="FF3333FF"/>
      </right>
      <top style="thin">
        <color theme="6"/>
      </top>
      <bottom style="thin">
        <color theme="6"/>
      </bottom>
      <diagonal/>
    </border>
    <border>
      <left/>
      <right/>
      <top style="thick">
        <color rgb="FF3333FF"/>
      </top>
      <bottom style="thin">
        <color theme="6"/>
      </bottom>
      <diagonal/>
    </border>
    <border>
      <left/>
      <right/>
      <top style="double">
        <color theme="6"/>
      </top>
      <bottom style="thin">
        <color theme="6"/>
      </bottom>
      <diagonal/>
    </border>
    <border>
      <left style="thick">
        <color rgb="FF3333FF"/>
      </left>
      <right style="thick">
        <color rgb="FF3333FF"/>
      </right>
      <top style="thick">
        <color rgb="FF3333FF"/>
      </top>
      <bottom style="thick">
        <color rgb="FF3333FF"/>
      </bottom>
      <diagonal/>
    </border>
    <border>
      <left style="thick">
        <color rgb="FF3333FF"/>
      </left>
      <right/>
      <top style="thick">
        <color rgb="FF3333FF"/>
      </top>
      <bottom style="thin">
        <color theme="6"/>
      </bottom>
      <diagonal/>
    </border>
    <border>
      <left/>
      <right style="thick">
        <color rgb="FF3333FF"/>
      </right>
      <top style="thick">
        <color rgb="FF3333FF"/>
      </top>
      <bottom style="thin">
        <color theme="6"/>
      </bottom>
      <diagonal/>
    </border>
    <border>
      <left style="thick">
        <color rgb="FF3333FF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rgb="FF3333FF"/>
      </left>
      <right style="thin">
        <color theme="6"/>
      </right>
      <top style="thin">
        <color theme="6"/>
      </top>
      <bottom style="thick">
        <color rgb="FF3333FF"/>
      </bottom>
      <diagonal/>
    </border>
    <border>
      <left style="thin">
        <color theme="6"/>
      </left>
      <right/>
      <top style="thin">
        <color theme="6"/>
      </top>
      <bottom style="thick">
        <color rgb="FF3333FF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rgb="FF3333FF"/>
      </bottom>
      <diagonal/>
    </border>
    <border>
      <left/>
      <right style="thin">
        <color theme="6"/>
      </right>
      <top style="thin">
        <color theme="6"/>
      </top>
      <bottom style="thick">
        <color rgb="FF3333FF"/>
      </bottom>
      <diagonal/>
    </border>
    <border>
      <left style="thin">
        <color theme="6"/>
      </left>
      <right style="thick">
        <color rgb="FF3333FF"/>
      </right>
      <top style="thin">
        <color theme="6"/>
      </top>
      <bottom style="thick">
        <color rgb="FF3333FF"/>
      </bottom>
      <diagonal/>
    </border>
    <border>
      <left style="thick">
        <color rgb="FF3333FF"/>
      </left>
      <right style="thick">
        <color rgb="FF3333FF"/>
      </right>
      <top style="thin">
        <color theme="6"/>
      </top>
      <bottom style="double">
        <color theme="6"/>
      </bottom>
      <diagonal/>
    </border>
    <border>
      <left style="thick">
        <color rgb="FF3333FF"/>
      </left>
      <right style="thick">
        <color rgb="FF3333FF"/>
      </right>
      <top style="thin">
        <color theme="6"/>
      </top>
      <bottom style="thin">
        <color theme="6"/>
      </bottom>
      <diagonal/>
    </border>
    <border>
      <left/>
      <right style="thick">
        <color rgb="FF3333FF"/>
      </right>
      <top style="thin">
        <color theme="6"/>
      </top>
      <bottom style="thin">
        <color theme="6"/>
      </bottom>
      <diagonal/>
    </border>
    <border>
      <left style="thick">
        <color rgb="FF3333FF"/>
      </left>
      <right/>
      <top style="thick">
        <color rgb="FF3333FF"/>
      </top>
      <bottom style="thick">
        <color rgb="FF3333FF"/>
      </bottom>
      <diagonal/>
    </border>
    <border>
      <left/>
      <right style="thick">
        <color rgb="FF3333FF"/>
      </right>
      <top style="thick">
        <color rgb="FF3333FF"/>
      </top>
      <bottom style="thick">
        <color rgb="FF3333FF"/>
      </bottom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0" fillId="0" borderId="0" xfId="0" applyProtection="1">
      <alignment vertical="center"/>
    </xf>
    <xf numFmtId="14" fontId="0" fillId="0" borderId="0" xfId="0" applyNumberFormat="1" applyProtection="1">
      <alignment vertical="center"/>
    </xf>
    <xf numFmtId="20" fontId="0" fillId="0" borderId="0" xfId="0" applyNumberFormat="1" applyProtection="1">
      <alignment vertical="center"/>
    </xf>
    <xf numFmtId="177" fontId="6" fillId="0" borderId="0" xfId="0" applyNumberFormat="1" applyFont="1" applyFill="1" applyBorder="1" applyAlignment="1" applyProtection="1">
      <alignment horizontal="center" vertical="center"/>
    </xf>
    <xf numFmtId="178" fontId="6" fillId="0" borderId="7" xfId="0" applyNumberFormat="1" applyFont="1" applyFill="1" applyBorder="1" applyAlignment="1" applyProtection="1">
      <alignment horizontal="center" vertical="center"/>
    </xf>
    <xf numFmtId="0" fontId="8" fillId="0" borderId="0" xfId="0" applyFont="1" applyProtection="1">
      <alignment vertical="center"/>
    </xf>
    <xf numFmtId="0" fontId="9" fillId="0" borderId="0" xfId="0" applyNumberFormat="1" applyFont="1" applyAlignment="1" applyProtection="1">
      <alignment vertical="center"/>
    </xf>
    <xf numFmtId="0" fontId="9" fillId="0" borderId="0" xfId="0" applyFont="1" applyAlignment="1" applyProtection="1">
      <alignment vertical="center"/>
    </xf>
    <xf numFmtId="0" fontId="8" fillId="2" borderId="1" xfId="0" applyFont="1" applyFill="1" applyBorder="1" applyAlignment="1" applyProtection="1">
      <alignment horizontal="center" vertical="center" wrapText="1"/>
    </xf>
    <xf numFmtId="178" fontId="8" fillId="2" borderId="1" xfId="0" applyNumberFormat="1" applyFont="1" applyFill="1" applyBorder="1" applyAlignment="1" applyProtection="1">
      <alignment horizontal="center" vertical="center"/>
    </xf>
    <xf numFmtId="178" fontId="10" fillId="2" borderId="1" xfId="0" applyNumberFormat="1" applyFont="1" applyFill="1" applyBorder="1" applyAlignment="1" applyProtection="1">
      <alignment horizontal="center" vertical="center"/>
    </xf>
    <xf numFmtId="178" fontId="6" fillId="2" borderId="1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Protection="1">
      <alignment vertical="center"/>
    </xf>
    <xf numFmtId="185" fontId="9" fillId="0" borderId="0" xfId="0" applyNumberFormat="1" applyFont="1" applyProtection="1">
      <alignment vertical="center"/>
    </xf>
    <xf numFmtId="0" fontId="6" fillId="0" borderId="0" xfId="0" applyFont="1" applyAlignment="1" applyProtection="1">
      <alignment horizontal="distributed" vertical="center"/>
    </xf>
    <xf numFmtId="0" fontId="9" fillId="0" borderId="0" xfId="0" applyNumberFormat="1" applyFont="1" applyAlignment="1" applyProtection="1">
      <alignment horizontal="right" vertical="center"/>
    </xf>
    <xf numFmtId="0" fontId="9" fillId="0" borderId="0" xfId="0" applyFont="1" applyProtection="1">
      <alignment vertical="center"/>
    </xf>
    <xf numFmtId="178" fontId="8" fillId="0" borderId="0" xfId="0" applyNumberFormat="1" applyFont="1" applyFill="1" applyAlignment="1" applyProtection="1">
      <alignment vertical="center"/>
    </xf>
    <xf numFmtId="0" fontId="8" fillId="0" borderId="0" xfId="0" applyFont="1" applyFill="1" applyAlignment="1" applyProtection="1">
      <alignment horizontal="center" vertical="center"/>
    </xf>
    <xf numFmtId="178" fontId="8" fillId="0" borderId="0" xfId="0" applyNumberFormat="1" applyFont="1" applyProtection="1">
      <alignment vertical="center"/>
    </xf>
    <xf numFmtId="178" fontId="8" fillId="0" borderId="0" xfId="0" applyNumberFormat="1" applyFont="1" applyAlignment="1" applyProtection="1">
      <alignment horizontal="center" vertical="center"/>
    </xf>
    <xf numFmtId="177" fontId="8" fillId="0" borderId="0" xfId="0" applyNumberFormat="1" applyFont="1" applyProtection="1">
      <alignment vertical="center"/>
    </xf>
    <xf numFmtId="179" fontId="6" fillId="0" borderId="0" xfId="0" applyNumberFormat="1" applyFont="1" applyProtection="1">
      <alignment vertical="center"/>
    </xf>
    <xf numFmtId="180" fontId="6" fillId="0" borderId="1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horizontal="distributed" vertical="center" indent="1"/>
    </xf>
    <xf numFmtId="178" fontId="8" fillId="0" borderId="1" xfId="0" applyNumberFormat="1" applyFont="1" applyBorder="1" applyProtection="1">
      <alignment vertical="center"/>
    </xf>
    <xf numFmtId="0" fontId="8" fillId="0" borderId="1" xfId="0" applyFont="1" applyBorder="1" applyProtection="1">
      <alignment vertical="center"/>
    </xf>
    <xf numFmtId="181" fontId="6" fillId="0" borderId="1" xfId="0" applyNumberFormat="1" applyFont="1" applyFill="1" applyBorder="1" applyAlignment="1" applyProtection="1">
      <alignment vertical="center"/>
    </xf>
    <xf numFmtId="0" fontId="8" fillId="5" borderId="0" xfId="0" applyFont="1" applyFill="1" applyProtection="1">
      <alignment vertical="center"/>
    </xf>
    <xf numFmtId="179" fontId="6" fillId="4" borderId="0" xfId="0" applyNumberFormat="1" applyFont="1" applyFill="1" applyProtection="1">
      <alignment vertical="center"/>
    </xf>
    <xf numFmtId="176" fontId="12" fillId="2" borderId="1" xfId="0" applyNumberFormat="1" applyFont="1" applyFill="1" applyBorder="1" applyAlignment="1" applyProtection="1">
      <alignment horizontal="center" vertical="center"/>
    </xf>
    <xf numFmtId="178" fontId="12" fillId="2" borderId="3" xfId="0" applyNumberFormat="1" applyFont="1" applyFill="1" applyBorder="1" applyAlignment="1" applyProtection="1">
      <alignment horizontal="center" vertical="center"/>
    </xf>
    <xf numFmtId="178" fontId="12" fillId="2" borderId="5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 shrinkToFit="1"/>
      <protection locked="0"/>
    </xf>
    <xf numFmtId="0" fontId="6" fillId="2" borderId="1" xfId="0" applyFont="1" applyFill="1" applyBorder="1" applyAlignment="1" applyProtection="1">
      <alignment horizontal="distributed" vertical="center" indent="1"/>
    </xf>
    <xf numFmtId="178" fontId="8" fillId="2" borderId="1" xfId="0" applyNumberFormat="1" applyFont="1" applyFill="1" applyBorder="1" applyAlignment="1" applyProtection="1">
      <alignment horizontal="center" vertical="center" wrapText="1"/>
    </xf>
    <xf numFmtId="178" fontId="16" fillId="2" borderId="3" xfId="0" applyNumberFormat="1" applyFont="1" applyFill="1" applyBorder="1" applyAlignment="1" applyProtection="1">
      <alignment horizontal="center" vertical="center" wrapText="1"/>
    </xf>
    <xf numFmtId="188" fontId="18" fillId="0" borderId="0" xfId="0" applyNumberFormat="1" applyFont="1" applyFill="1" applyAlignment="1" applyProtection="1">
      <alignment vertical="center"/>
    </xf>
    <xf numFmtId="0" fontId="19" fillId="0" borderId="0" xfId="0" applyFont="1" applyFill="1" applyAlignment="1" applyProtection="1">
      <alignment horizontal="left" vertical="center"/>
    </xf>
    <xf numFmtId="20" fontId="0" fillId="0" borderId="0" xfId="0" applyNumberFormat="1">
      <alignment vertical="center"/>
    </xf>
    <xf numFmtId="180" fontId="6" fillId="0" borderId="0" xfId="0" applyNumberFormat="1" applyFont="1" applyFill="1" applyBorder="1" applyAlignment="1" applyProtection="1">
      <alignment vertical="center"/>
    </xf>
    <xf numFmtId="186" fontId="7" fillId="0" borderId="0" xfId="0" applyNumberFormat="1" applyFont="1" applyFill="1" applyBorder="1" applyAlignment="1" applyProtection="1">
      <alignment horizontal="left" vertical="center"/>
    </xf>
    <xf numFmtId="178" fontId="6" fillId="2" borderId="10" xfId="0" applyNumberFormat="1" applyFont="1" applyFill="1" applyBorder="1" applyAlignment="1">
      <alignment vertical="center" shrinkToFit="1"/>
    </xf>
    <xf numFmtId="178" fontId="5" fillId="2" borderId="1" xfId="0" applyNumberFormat="1" applyFont="1" applyFill="1" applyBorder="1" applyAlignment="1">
      <alignment vertical="center" shrinkToFit="1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178" fontId="8" fillId="0" borderId="0" xfId="0" applyNumberFormat="1" applyFont="1" applyAlignment="1">
      <alignment vertical="center" shrinkToFit="1"/>
    </xf>
    <xf numFmtId="178" fontId="8" fillId="2" borderId="0" xfId="0" applyNumberFormat="1" applyFont="1" applyFill="1">
      <alignment vertical="center"/>
    </xf>
    <xf numFmtId="0" fontId="8" fillId="0" borderId="0" xfId="0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distributed" vertical="center"/>
    </xf>
    <xf numFmtId="0" fontId="6" fillId="3" borderId="1" xfId="0" applyFont="1" applyFill="1" applyBorder="1" applyAlignment="1">
      <alignment vertical="center" shrinkToFit="1"/>
    </xf>
    <xf numFmtId="0" fontId="6" fillId="3" borderId="11" xfId="0" applyFont="1" applyFill="1" applyBorder="1" applyAlignment="1">
      <alignment vertical="center" shrinkToFit="1"/>
    </xf>
    <xf numFmtId="0" fontId="6" fillId="3" borderId="3" xfId="0" applyFont="1" applyFill="1" applyBorder="1" applyAlignment="1">
      <alignment vertical="center" shrinkToFit="1"/>
    </xf>
    <xf numFmtId="0" fontId="6" fillId="3" borderId="5" xfId="0" applyFont="1" applyFill="1" applyBorder="1" applyAlignment="1" applyProtection="1">
      <alignment vertical="center" shrinkToFit="1"/>
      <protection locked="0"/>
    </xf>
    <xf numFmtId="191" fontId="23" fillId="0" borderId="0" xfId="0" quotePrefix="1" applyNumberFormat="1" applyFont="1" applyAlignment="1">
      <alignment horizontal="left" vertical="center"/>
    </xf>
    <xf numFmtId="192" fontId="6" fillId="0" borderId="1" xfId="0" applyNumberFormat="1" applyFont="1" applyBorder="1" applyAlignment="1" applyProtection="1">
      <alignment vertical="center"/>
    </xf>
    <xf numFmtId="184" fontId="6" fillId="2" borderId="3" xfId="0" applyNumberFormat="1" applyFont="1" applyFill="1" applyBorder="1" applyAlignment="1" applyProtection="1">
      <alignment vertical="center" shrinkToFit="1"/>
    </xf>
    <xf numFmtId="178" fontId="8" fillId="2" borderId="1" xfId="0" applyNumberFormat="1" applyFont="1" applyFill="1" applyBorder="1" applyAlignment="1" applyProtection="1">
      <alignment vertical="center" shrinkToFit="1"/>
    </xf>
    <xf numFmtId="178" fontId="16" fillId="0" borderId="1" xfId="0" applyNumberFormat="1" applyFont="1" applyBorder="1" applyAlignment="1" applyProtection="1">
      <alignment vertical="center" shrinkToFit="1"/>
    </xf>
    <xf numFmtId="176" fontId="13" fillId="0" borderId="1" xfId="0" applyNumberFormat="1" applyFont="1" applyFill="1" applyBorder="1" applyAlignment="1" applyProtection="1">
      <alignment horizontal="center" vertical="center" shrinkToFit="1"/>
      <protection locked="0"/>
    </xf>
    <xf numFmtId="184" fontId="6" fillId="2" borderId="4" xfId="0" applyNumberFormat="1" applyFont="1" applyFill="1" applyBorder="1" applyAlignment="1" applyProtection="1">
      <alignment vertical="center" shrinkToFit="1"/>
    </xf>
    <xf numFmtId="178" fontId="8" fillId="2" borderId="2" xfId="0" applyNumberFormat="1" applyFont="1" applyFill="1" applyBorder="1" applyAlignment="1" applyProtection="1">
      <alignment vertical="center" shrinkToFit="1"/>
    </xf>
    <xf numFmtId="179" fontId="6" fillId="2" borderId="8" xfId="0" applyNumberFormat="1" applyFont="1" applyFill="1" applyBorder="1" applyAlignment="1" applyProtection="1">
      <alignment horizontal="right" vertical="center" shrinkToFit="1"/>
    </xf>
    <xf numFmtId="179" fontId="6" fillId="2" borderId="9" xfId="0" applyNumberFormat="1" applyFont="1" applyFill="1" applyBorder="1" applyAlignment="1" applyProtection="1">
      <alignment horizontal="right" vertical="center" shrinkToFit="1"/>
    </xf>
    <xf numFmtId="178" fontId="6" fillId="2" borderId="9" xfId="0" applyNumberFormat="1" applyFont="1" applyFill="1" applyBorder="1" applyAlignment="1" applyProtection="1">
      <alignment vertical="center" shrinkToFit="1"/>
    </xf>
    <xf numFmtId="178" fontId="8" fillId="0" borderId="0" xfId="0" applyNumberFormat="1" applyFont="1" applyFill="1" applyAlignment="1" applyProtection="1">
      <alignment vertical="center" shrinkToFit="1"/>
    </xf>
    <xf numFmtId="0" fontId="8" fillId="0" borderId="0" xfId="0" applyFont="1" applyFill="1" applyAlignment="1" applyProtection="1">
      <alignment horizontal="center" vertical="center" shrinkToFit="1"/>
    </xf>
    <xf numFmtId="178" fontId="17" fillId="0" borderId="0" xfId="0" applyNumberFormat="1" applyFont="1" applyFill="1" applyAlignment="1" applyProtection="1">
      <alignment horizontal="right" vertical="center" shrinkToFit="1"/>
    </xf>
    <xf numFmtId="188" fontId="18" fillId="0" borderId="0" xfId="0" applyNumberFormat="1" applyFont="1" applyFill="1" applyAlignment="1" applyProtection="1">
      <alignment vertical="center" shrinkToFit="1"/>
    </xf>
    <xf numFmtId="178" fontId="8" fillId="2" borderId="5" xfId="0" applyNumberFormat="1" applyFont="1" applyFill="1" applyBorder="1" applyAlignment="1" applyProtection="1">
      <alignment vertical="center" shrinkToFit="1"/>
    </xf>
    <xf numFmtId="178" fontId="8" fillId="0" borderId="1" xfId="0" applyNumberFormat="1" applyFont="1" applyBorder="1" applyAlignment="1" applyProtection="1">
      <alignment vertical="center" shrinkToFit="1"/>
      <protection locked="0"/>
    </xf>
    <xf numFmtId="178" fontId="8" fillId="2" borderId="6" xfId="0" applyNumberFormat="1" applyFont="1" applyFill="1" applyBorder="1" applyAlignment="1" applyProtection="1">
      <alignment vertical="center" shrinkToFit="1"/>
    </xf>
    <xf numFmtId="178" fontId="6" fillId="2" borderId="1" xfId="0" applyNumberFormat="1" applyFont="1" applyFill="1" applyBorder="1" applyAlignment="1" applyProtection="1">
      <alignment vertical="center" shrinkToFit="1"/>
    </xf>
    <xf numFmtId="182" fontId="8" fillId="2" borderId="1" xfId="0" applyNumberFormat="1" applyFont="1" applyFill="1" applyBorder="1" applyAlignment="1" applyProtection="1">
      <alignment vertical="center" shrinkToFit="1"/>
    </xf>
    <xf numFmtId="178" fontId="6" fillId="2" borderId="2" xfId="0" applyNumberFormat="1" applyFont="1" applyFill="1" applyBorder="1" applyAlignment="1" applyProtection="1">
      <alignment vertical="center" shrinkToFit="1"/>
    </xf>
    <xf numFmtId="182" fontId="8" fillId="2" borderId="2" xfId="0" applyNumberFormat="1" applyFont="1" applyFill="1" applyBorder="1" applyAlignment="1" applyProtection="1">
      <alignment vertical="center" shrinkToFit="1"/>
    </xf>
    <xf numFmtId="178" fontId="6" fillId="2" borderId="12" xfId="0" applyNumberFormat="1" applyFont="1" applyFill="1" applyBorder="1" applyAlignment="1" applyProtection="1">
      <alignment vertical="center" shrinkToFit="1"/>
    </xf>
    <xf numFmtId="178" fontId="8" fillId="2" borderId="9" xfId="0" applyNumberFormat="1" applyFont="1" applyFill="1" applyBorder="1" applyAlignment="1">
      <alignment vertical="center" shrinkToFit="1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25" fillId="0" borderId="0" xfId="0" applyNumberFormat="1" applyFont="1" applyAlignment="1" applyProtection="1">
      <alignment horizontal="center" vertical="center" shrinkToFit="1"/>
    </xf>
    <xf numFmtId="0" fontId="25" fillId="0" borderId="0" xfId="0" applyFont="1" applyAlignment="1" applyProtection="1">
      <alignment horizontal="center" vertical="center" shrinkToFit="1"/>
    </xf>
    <xf numFmtId="190" fontId="11" fillId="3" borderId="12" xfId="0" applyNumberFormat="1" applyFont="1" applyFill="1" applyBorder="1">
      <alignment vertical="center"/>
    </xf>
    <xf numFmtId="178" fontId="10" fillId="2" borderId="5" xfId="0" applyNumberFormat="1" applyFont="1" applyFill="1" applyBorder="1" applyAlignment="1" applyProtection="1">
      <alignment horizontal="center" vertical="center"/>
    </xf>
    <xf numFmtId="192" fontId="6" fillId="0" borderId="12" xfId="0" applyNumberFormat="1" applyFont="1" applyBorder="1" applyAlignment="1" applyProtection="1">
      <alignment vertical="center"/>
    </xf>
    <xf numFmtId="178" fontId="5" fillId="2" borderId="26" xfId="0" applyNumberFormat="1" applyFont="1" applyFill="1" applyBorder="1" applyAlignment="1">
      <alignment vertical="center" shrinkToFit="1"/>
    </xf>
    <xf numFmtId="0" fontId="0" fillId="0" borderId="27" xfId="0" applyBorder="1" applyProtection="1">
      <alignment vertical="center"/>
    </xf>
    <xf numFmtId="184" fontId="6" fillId="2" borderId="31" xfId="0" applyNumberFormat="1" applyFont="1" applyFill="1" applyBorder="1" applyAlignment="1" applyProtection="1">
      <alignment horizontal="center" vertical="center" shrinkToFit="1"/>
    </xf>
    <xf numFmtId="184" fontId="6" fillId="2" borderId="28" xfId="0" applyNumberFormat="1" applyFont="1" applyFill="1" applyBorder="1" applyAlignment="1" applyProtection="1">
      <alignment horizontal="center" vertical="center" shrinkToFit="1"/>
    </xf>
    <xf numFmtId="0" fontId="6" fillId="2" borderId="32" xfId="0" applyFont="1" applyFill="1" applyBorder="1" applyAlignment="1" applyProtection="1">
      <alignment horizontal="center" vertical="center" shrinkToFit="1"/>
    </xf>
    <xf numFmtId="178" fontId="6" fillId="2" borderId="32" xfId="0" applyNumberFormat="1" applyFont="1" applyFill="1" applyBorder="1" applyAlignment="1" applyProtection="1">
      <alignment vertical="center" shrinkToFit="1"/>
    </xf>
    <xf numFmtId="178" fontId="15" fillId="2" borderId="32" xfId="0" applyNumberFormat="1" applyFont="1" applyFill="1" applyBorder="1" applyAlignment="1" applyProtection="1">
      <alignment vertical="center" shrinkToFit="1"/>
    </xf>
    <xf numFmtId="0" fontId="6" fillId="2" borderId="32" xfId="0" applyFont="1" applyFill="1" applyBorder="1" applyAlignment="1" applyProtection="1">
      <alignment horizontal="center" vertical="center"/>
    </xf>
    <xf numFmtId="178" fontId="6" fillId="2" borderId="32" xfId="0" applyNumberFormat="1" applyFont="1" applyFill="1" applyBorder="1" applyProtection="1">
      <alignment vertical="center"/>
    </xf>
    <xf numFmtId="178" fontId="6" fillId="2" borderId="32" xfId="0" applyNumberFormat="1" applyFont="1" applyFill="1" applyBorder="1" applyAlignment="1" applyProtection="1">
      <alignment horizontal="center" vertical="center"/>
    </xf>
    <xf numFmtId="177" fontId="6" fillId="2" borderId="32" xfId="0" applyNumberFormat="1" applyFont="1" applyFill="1" applyBorder="1" applyProtection="1">
      <alignment vertical="center"/>
    </xf>
    <xf numFmtId="0" fontId="6" fillId="2" borderId="32" xfId="0" applyFont="1" applyFill="1" applyBorder="1" applyProtection="1">
      <alignment vertical="center"/>
    </xf>
    <xf numFmtId="178" fontId="6" fillId="2" borderId="33" xfId="0" applyNumberFormat="1" applyFont="1" applyFill="1" applyBorder="1" applyProtection="1">
      <alignment vertical="center"/>
    </xf>
    <xf numFmtId="178" fontId="8" fillId="2" borderId="31" xfId="0" applyNumberFormat="1" applyFont="1" applyFill="1" applyBorder="1" applyAlignment="1" applyProtection="1">
      <alignment horizontal="center" vertical="center"/>
    </xf>
    <xf numFmtId="178" fontId="8" fillId="0" borderId="37" xfId="0" applyNumberFormat="1" applyFont="1" applyBorder="1" applyAlignment="1" applyProtection="1">
      <alignment vertical="center" shrinkToFit="1"/>
      <protection locked="0"/>
    </xf>
    <xf numFmtId="178" fontId="13" fillId="0" borderId="31" xfId="0" applyNumberFormat="1" applyFont="1" applyBorder="1" applyAlignment="1" applyProtection="1">
      <alignment vertical="center" shrinkToFit="1"/>
      <protection locked="0"/>
    </xf>
    <xf numFmtId="178" fontId="8" fillId="0" borderId="38" xfId="0" applyNumberFormat="1" applyFont="1" applyBorder="1" applyAlignment="1" applyProtection="1">
      <alignment vertical="center" shrinkToFit="1"/>
      <protection locked="0"/>
    </xf>
    <xf numFmtId="178" fontId="12" fillId="2" borderId="39" xfId="0" applyNumberFormat="1" applyFont="1" applyFill="1" applyBorder="1" applyAlignment="1" applyProtection="1">
      <alignment horizontal="center" vertical="center"/>
    </xf>
    <xf numFmtId="0" fontId="13" fillId="0" borderId="40" xfId="0" applyFont="1" applyBorder="1" applyAlignment="1" applyProtection="1">
      <alignment vertical="center" shrinkToFit="1"/>
      <protection locked="0"/>
    </xf>
    <xf numFmtId="178" fontId="8" fillId="0" borderId="40" xfId="0" applyNumberFormat="1" applyFont="1" applyBorder="1" applyAlignment="1" applyProtection="1">
      <alignment vertical="center" shrinkToFit="1"/>
      <protection locked="0"/>
    </xf>
    <xf numFmtId="178" fontId="12" fillId="2" borderId="41" xfId="0" applyNumberFormat="1" applyFont="1" applyFill="1" applyBorder="1" applyAlignment="1" applyProtection="1">
      <alignment horizontal="center" vertical="center"/>
    </xf>
    <xf numFmtId="178" fontId="13" fillId="0" borderId="42" xfId="0" applyNumberFormat="1" applyFont="1" applyBorder="1" applyAlignment="1" applyProtection="1">
      <alignment vertical="center" shrinkToFit="1"/>
      <protection locked="0"/>
    </xf>
    <xf numFmtId="0" fontId="6" fillId="0" borderId="44" xfId="0" applyFont="1" applyFill="1" applyBorder="1" applyAlignment="1" applyProtection="1">
      <alignment vertical="center"/>
    </xf>
    <xf numFmtId="178" fontId="8" fillId="2" borderId="44" xfId="0" applyNumberFormat="1" applyFont="1" applyFill="1" applyBorder="1" applyAlignment="1" applyProtection="1">
      <alignment horizontal="center" vertical="center" wrapText="1"/>
    </xf>
    <xf numFmtId="178" fontId="8" fillId="2" borderId="44" xfId="0" applyNumberFormat="1" applyFont="1" applyFill="1" applyBorder="1" applyAlignment="1" applyProtection="1">
      <alignment vertical="center" shrinkToFit="1"/>
    </xf>
    <xf numFmtId="178" fontId="8" fillId="2" borderId="43" xfId="0" applyNumberFormat="1" applyFont="1" applyFill="1" applyBorder="1" applyAlignment="1" applyProtection="1">
      <alignment vertical="center" shrinkToFit="1"/>
    </xf>
    <xf numFmtId="0" fontId="8" fillId="2" borderId="37" xfId="0" applyFont="1" applyFill="1" applyBorder="1" applyAlignment="1" applyProtection="1">
      <alignment horizontal="center" vertical="center" wrapText="1"/>
    </xf>
    <xf numFmtId="0" fontId="13" fillId="0" borderId="37" xfId="0" applyNumberFormat="1" applyFont="1" applyFill="1" applyBorder="1" applyAlignment="1" applyProtection="1">
      <alignment horizontal="center" vertical="center" shrinkToFit="1"/>
      <protection locked="0"/>
    </xf>
    <xf numFmtId="176" fontId="12" fillId="2" borderId="31" xfId="0" applyNumberFormat="1" applyFont="1" applyFill="1" applyBorder="1" applyAlignment="1" applyProtection="1">
      <alignment horizontal="center" vertical="center"/>
    </xf>
    <xf numFmtId="0" fontId="13" fillId="0" borderId="38" xfId="0" applyNumberFormat="1" applyFont="1" applyFill="1" applyBorder="1" applyAlignment="1" applyProtection="1">
      <alignment horizontal="center" vertical="center" shrinkToFit="1"/>
      <protection locked="0"/>
    </xf>
    <xf numFmtId="178" fontId="8" fillId="2" borderId="40" xfId="0" applyNumberFormat="1" applyFont="1" applyFill="1" applyBorder="1" applyAlignment="1" applyProtection="1">
      <alignment vertical="center" shrinkToFit="1"/>
    </xf>
    <xf numFmtId="178" fontId="16" fillId="0" borderId="40" xfId="0" applyNumberFormat="1" applyFont="1" applyBorder="1" applyAlignment="1" applyProtection="1">
      <alignment vertical="center" shrinkToFit="1"/>
    </xf>
    <xf numFmtId="176" fontId="13" fillId="0" borderId="40" xfId="0" applyNumberFormat="1" applyFont="1" applyFill="1" applyBorder="1" applyAlignment="1" applyProtection="1">
      <alignment horizontal="center" vertical="center" shrinkToFit="1"/>
      <protection locked="0"/>
    </xf>
    <xf numFmtId="176" fontId="12" fillId="2" borderId="40" xfId="0" applyNumberFormat="1" applyFont="1" applyFill="1" applyBorder="1" applyAlignment="1" applyProtection="1">
      <alignment horizontal="center" vertical="center"/>
    </xf>
    <xf numFmtId="176" fontId="12" fillId="2" borderId="42" xfId="0" applyNumberFormat="1" applyFont="1" applyFill="1" applyBorder="1" applyAlignment="1" applyProtection="1">
      <alignment horizontal="center" vertical="center"/>
    </xf>
    <xf numFmtId="177" fontId="8" fillId="2" borderId="31" xfId="0" applyNumberFormat="1" applyFont="1" applyFill="1" applyBorder="1" applyAlignment="1" applyProtection="1">
      <alignment horizontal="center" vertical="center" wrapText="1"/>
    </xf>
    <xf numFmtId="177" fontId="13" fillId="0" borderId="31" xfId="0" applyNumberFormat="1" applyFont="1" applyBorder="1" applyAlignment="1" applyProtection="1">
      <alignment vertical="center" shrinkToFit="1"/>
      <protection locked="0"/>
    </xf>
    <xf numFmtId="177" fontId="13" fillId="0" borderId="42" xfId="0" applyNumberFormat="1" applyFont="1" applyBorder="1" applyAlignment="1" applyProtection="1">
      <alignment vertical="center" shrinkToFit="1"/>
      <protection locked="0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14" fontId="0" fillId="0" borderId="34" xfId="0" applyNumberFormat="1" applyBorder="1">
      <alignment vertical="center"/>
    </xf>
    <xf numFmtId="178" fontId="6" fillId="0" borderId="23" xfId="0" applyNumberFormat="1" applyFont="1" applyBorder="1" applyAlignment="1">
      <alignment horizontal="distributed" vertical="center"/>
    </xf>
    <xf numFmtId="178" fontId="6" fillId="0" borderId="24" xfId="0" applyNumberFormat="1" applyFont="1" applyBorder="1" applyAlignment="1">
      <alignment horizontal="distributed" vertical="center"/>
    </xf>
    <xf numFmtId="178" fontId="6" fillId="0" borderId="25" xfId="0" applyNumberFormat="1" applyFont="1" applyBorder="1" applyAlignment="1">
      <alignment horizontal="distributed" vertical="center"/>
    </xf>
    <xf numFmtId="178" fontId="6" fillId="0" borderId="17" xfId="0" applyNumberFormat="1" applyFont="1" applyBorder="1" applyAlignment="1">
      <alignment horizontal="distributed" vertical="center"/>
    </xf>
    <xf numFmtId="0" fontId="0" fillId="0" borderId="17" xfId="0" applyBorder="1" applyAlignment="1">
      <alignment horizontal="distributed" vertical="center"/>
    </xf>
    <xf numFmtId="0" fontId="0" fillId="0" borderId="14" xfId="0" applyBorder="1" applyAlignment="1">
      <alignment horizontal="distributed" vertical="center"/>
    </xf>
    <xf numFmtId="178" fontId="5" fillId="2" borderId="18" xfId="0" applyNumberFormat="1" applyFont="1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178" fontId="6" fillId="0" borderId="0" xfId="0" applyNumberFormat="1" applyFont="1" applyAlignment="1">
      <alignment horizontal="right" vertical="center" shrinkToFit="1"/>
    </xf>
    <xf numFmtId="0" fontId="0" fillId="0" borderId="0" xfId="0" applyAlignment="1">
      <alignment horizontal="right" vertical="center" shrinkToFit="1"/>
    </xf>
    <xf numFmtId="0" fontId="0" fillId="0" borderId="20" xfId="0" applyBorder="1" applyAlignment="1">
      <alignment horizontal="right" vertical="center" shrinkToFit="1"/>
    </xf>
    <xf numFmtId="178" fontId="5" fillId="0" borderId="21" xfId="0" applyNumberFormat="1" applyFont="1" applyBorder="1" applyAlignment="1" applyProtection="1">
      <alignment vertical="center" shrinkToFit="1"/>
      <protection locked="0"/>
    </xf>
    <xf numFmtId="0" fontId="0" fillId="0" borderId="22" xfId="0" applyBorder="1" applyAlignment="1" applyProtection="1">
      <alignment vertical="center" shrinkToFit="1"/>
      <protection locked="0"/>
    </xf>
    <xf numFmtId="0" fontId="6" fillId="2" borderId="1" xfId="0" applyFont="1" applyFill="1" applyBorder="1" applyAlignment="1" applyProtection="1">
      <alignment horizontal="distributed" vertical="center" indent="1"/>
    </xf>
    <xf numFmtId="0" fontId="8" fillId="0" borderId="1" xfId="0" applyFont="1" applyBorder="1" applyAlignment="1" applyProtection="1">
      <alignment horizontal="distributed" vertical="center" indent="1"/>
    </xf>
    <xf numFmtId="0" fontId="6" fillId="2" borderId="3" xfId="0" applyFont="1" applyFill="1" applyBorder="1" applyAlignment="1" applyProtection="1">
      <alignment horizontal="distributed" vertical="center" indent="1"/>
    </xf>
    <xf numFmtId="0" fontId="6" fillId="2" borderId="5" xfId="0" applyFont="1" applyFill="1" applyBorder="1" applyAlignment="1" applyProtection="1">
      <alignment horizontal="distributed" vertical="center" indent="1"/>
    </xf>
    <xf numFmtId="178" fontId="6" fillId="0" borderId="0" xfId="0" applyNumberFormat="1" applyFont="1" applyAlignment="1">
      <alignment horizontal="distributed" vertical="center"/>
    </xf>
    <xf numFmtId="0" fontId="8" fillId="0" borderId="0" xfId="0" applyFont="1" applyAlignment="1">
      <alignment horizontal="distributed" vertical="center"/>
    </xf>
    <xf numFmtId="186" fontId="7" fillId="0" borderId="7" xfId="0" applyNumberFormat="1" applyFont="1" applyFill="1" applyBorder="1" applyAlignment="1" applyProtection="1">
      <alignment horizontal="left" vertical="center"/>
    </xf>
    <xf numFmtId="178" fontId="6" fillId="0" borderId="14" xfId="0" applyNumberFormat="1" applyFont="1" applyBorder="1" applyAlignment="1">
      <alignment horizontal="distributed" vertical="center"/>
    </xf>
    <xf numFmtId="178" fontId="8" fillId="0" borderId="17" xfId="0" applyNumberFormat="1" applyFont="1" applyBorder="1" applyAlignment="1">
      <alignment horizontal="distributed" vertical="center"/>
    </xf>
    <xf numFmtId="178" fontId="14" fillId="2" borderId="13" xfId="0" applyNumberFormat="1" applyFont="1" applyFill="1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6" fillId="3" borderId="18" xfId="0" applyNumberFormat="1" applyFont="1" applyFill="1" applyBorder="1" applyAlignment="1" applyProtection="1">
      <alignment horizontal="center" vertical="center" shrinkToFit="1"/>
    </xf>
    <xf numFmtId="0" fontId="6" fillId="3" borderId="0" xfId="0" applyNumberFormat="1" applyFont="1" applyFill="1" applyBorder="1" applyAlignment="1" applyProtection="1">
      <alignment horizontal="center" vertical="center" shrinkToFit="1"/>
    </xf>
    <xf numFmtId="0" fontId="6" fillId="3" borderId="16" xfId="0" applyNumberFormat="1" applyFont="1" applyFill="1" applyBorder="1" applyAlignment="1" applyProtection="1">
      <alignment horizontal="center" vertical="center" shrinkToFit="1"/>
    </xf>
    <xf numFmtId="0" fontId="8" fillId="2" borderId="3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78" fontId="8" fillId="2" borderId="37" xfId="0" applyNumberFormat="1" applyFont="1" applyFill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178" fontId="8" fillId="2" borderId="3" xfId="0" applyNumberFormat="1" applyFont="1" applyFill="1" applyBorder="1" applyAlignment="1" applyProtection="1">
      <alignment horizontal="center" vertical="center" wrapText="1"/>
    </xf>
    <xf numFmtId="178" fontId="8" fillId="2" borderId="5" xfId="0" applyNumberFormat="1" applyFont="1" applyFill="1" applyBorder="1" applyAlignment="1" applyProtection="1">
      <alignment horizontal="center" vertical="center" wrapText="1"/>
    </xf>
    <xf numFmtId="183" fontId="5" fillId="0" borderId="13" xfId="0" applyNumberFormat="1" applyFont="1" applyBorder="1" applyAlignment="1" applyProtection="1">
      <alignment horizontal="center" vertical="center"/>
    </xf>
    <xf numFmtId="183" fontId="5" fillId="0" borderId="29" xfId="0" applyNumberFormat="1" applyFont="1" applyBorder="1" applyAlignment="1" applyProtection="1">
      <alignment horizontal="center" vertical="center"/>
    </xf>
    <xf numFmtId="183" fontId="5" fillId="0" borderId="15" xfId="0" applyNumberFormat="1" applyFont="1" applyBorder="1" applyAlignment="1" applyProtection="1">
      <alignment horizontal="center" vertical="center"/>
    </xf>
    <xf numFmtId="183" fontId="5" fillId="0" borderId="30" xfId="0" applyNumberFormat="1" applyFont="1" applyBorder="1" applyAlignment="1" applyProtection="1">
      <alignment horizontal="center" vertical="center"/>
    </xf>
    <xf numFmtId="0" fontId="8" fillId="2" borderId="5" xfId="0" applyFont="1" applyFill="1" applyBorder="1" applyAlignment="1" applyProtection="1">
      <alignment horizontal="center" vertical="center" wrapText="1"/>
    </xf>
    <xf numFmtId="189" fontId="7" fillId="0" borderId="0" xfId="0" applyNumberFormat="1" applyFont="1" applyFill="1" applyAlignment="1" applyProtection="1">
      <alignment horizontal="left" vertical="center"/>
      <protection locked="0"/>
    </xf>
    <xf numFmtId="0" fontId="6" fillId="3" borderId="35" xfId="0" applyFont="1" applyFill="1" applyBorder="1" applyAlignment="1" applyProtection="1">
      <alignment horizontal="center" vertical="center"/>
    </xf>
    <xf numFmtId="0" fontId="6" fillId="3" borderId="32" xfId="0" applyFont="1" applyFill="1" applyBorder="1" applyAlignment="1" applyProtection="1">
      <alignment horizontal="center" vertical="center"/>
    </xf>
    <xf numFmtId="0" fontId="6" fillId="3" borderId="36" xfId="0" applyFont="1" applyFill="1" applyBorder="1" applyAlignment="1" applyProtection="1">
      <alignment horizontal="center" vertical="center"/>
    </xf>
    <xf numFmtId="177" fontId="6" fillId="3" borderId="35" xfId="0" applyNumberFormat="1" applyFont="1" applyFill="1" applyBorder="1" applyAlignment="1" applyProtection="1">
      <alignment horizontal="center" vertical="center"/>
    </xf>
    <xf numFmtId="177" fontId="6" fillId="3" borderId="32" xfId="0" applyNumberFormat="1" applyFont="1" applyFill="1" applyBorder="1" applyAlignment="1" applyProtection="1">
      <alignment horizontal="center" vertical="center"/>
    </xf>
    <xf numFmtId="177" fontId="6" fillId="3" borderId="36" xfId="0" applyNumberFormat="1" applyFont="1" applyFill="1" applyBorder="1" applyAlignment="1" applyProtection="1">
      <alignment horizontal="center" vertical="center"/>
    </xf>
    <xf numFmtId="0" fontId="6" fillId="2" borderId="12" xfId="0" applyFont="1" applyFill="1" applyBorder="1" applyAlignment="1" applyProtection="1">
      <alignment horizontal="distributed" vertical="center" indent="1"/>
    </xf>
    <xf numFmtId="0" fontId="8" fillId="0" borderId="12" xfId="0" applyFont="1" applyBorder="1" applyAlignment="1" applyProtection="1">
      <alignment horizontal="distributed" vertical="center" indent="1"/>
    </xf>
    <xf numFmtId="0" fontId="6" fillId="2" borderId="13" xfId="0" applyFont="1" applyFill="1" applyBorder="1" applyAlignment="1" applyProtection="1">
      <alignment horizontal="distributed" vertical="center" indent="1"/>
    </xf>
    <xf numFmtId="0" fontId="6" fillId="2" borderId="14" xfId="0" applyFont="1" applyFill="1" applyBorder="1" applyAlignment="1" applyProtection="1">
      <alignment horizontal="distributed" vertical="center" indent="1"/>
    </xf>
    <xf numFmtId="0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0" fontId="6" fillId="3" borderId="11" xfId="0" applyNumberFormat="1" applyFont="1" applyFill="1" applyBorder="1" applyAlignment="1" applyProtection="1">
      <alignment horizontal="center" vertical="center" shrinkToFit="1"/>
      <protection locked="0"/>
    </xf>
    <xf numFmtId="0" fontId="6" fillId="3" borderId="5" xfId="0" applyNumberFormat="1" applyFont="1" applyFill="1" applyBorder="1" applyAlignment="1" applyProtection="1">
      <alignment horizontal="center" vertical="center" shrinkToFit="1"/>
      <protection locked="0"/>
    </xf>
    <xf numFmtId="0" fontId="6" fillId="3" borderId="11" xfId="0" applyFont="1" applyFill="1" applyBorder="1" applyAlignment="1" applyProtection="1">
      <alignment horizontal="center" vertical="center" shrinkToFit="1"/>
      <protection locked="0"/>
    </xf>
    <xf numFmtId="187" fontId="11" fillId="3" borderId="13" xfId="0" applyNumberFormat="1" applyFont="1" applyFill="1" applyBorder="1" applyAlignment="1" applyProtection="1">
      <alignment horizontal="center" vertical="center"/>
    </xf>
    <xf numFmtId="187" fontId="11" fillId="3" borderId="17" xfId="0" applyNumberFormat="1" applyFont="1" applyFill="1" applyBorder="1" applyAlignment="1" applyProtection="1">
      <alignment horizontal="center" vertical="center"/>
    </xf>
    <xf numFmtId="187" fontId="11" fillId="3" borderId="14" xfId="0" applyNumberFormat="1" applyFont="1" applyFill="1" applyBorder="1" applyAlignment="1" applyProtection="1">
      <alignment horizontal="center" vertical="center"/>
    </xf>
    <xf numFmtId="187" fontId="11" fillId="3" borderId="18" xfId="0" applyNumberFormat="1" applyFont="1" applyFill="1" applyBorder="1" applyAlignment="1" applyProtection="1">
      <alignment horizontal="center" vertical="center"/>
    </xf>
    <xf numFmtId="187" fontId="11" fillId="3" borderId="0" xfId="0" applyNumberFormat="1" applyFont="1" applyFill="1" applyBorder="1" applyAlignment="1" applyProtection="1">
      <alignment horizontal="center" vertical="center"/>
    </xf>
    <xf numFmtId="187" fontId="11" fillId="3" borderId="19" xfId="0" applyNumberFormat="1" applyFont="1" applyFill="1" applyBorder="1" applyAlignment="1" applyProtection="1">
      <alignment horizontal="center" vertical="center"/>
    </xf>
    <xf numFmtId="0" fontId="6" fillId="3" borderId="13" xfId="0" applyFont="1" applyFill="1" applyBorder="1" applyAlignment="1" applyProtection="1">
      <alignment horizontal="center" vertical="center" shrinkToFit="1"/>
      <protection locked="0"/>
    </xf>
    <xf numFmtId="0" fontId="0" fillId="0" borderId="17" xfId="0" applyBorder="1" applyAlignment="1" applyProtection="1">
      <alignment horizontal="center" vertical="center" shrinkToFit="1"/>
      <protection locked="0"/>
    </xf>
    <xf numFmtId="0" fontId="0" fillId="0" borderId="14" xfId="0" applyBorder="1" applyAlignment="1" applyProtection="1">
      <alignment horizontal="center" vertical="center" shrinkToFit="1"/>
      <protection locked="0"/>
    </xf>
  </cellXfs>
  <cellStyles count="1">
    <cellStyle name="標準" xfId="0" builtinId="0"/>
  </cellStyles>
  <dxfs count="16"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ECFF"/>
        </patternFill>
      </fill>
    </dxf>
    <dxf>
      <fill>
        <patternFill>
          <bgColor rgb="FFFFCCCC"/>
        </patternFill>
      </fill>
    </dxf>
    <dxf>
      <fill>
        <patternFill>
          <bgColor rgb="FFA7DDFF"/>
        </patternFill>
      </fill>
    </dxf>
    <dxf>
      <fill>
        <patternFill>
          <bgColor theme="0" tint="-0.34998626667073579"/>
        </patternFill>
      </fill>
    </dxf>
    <dxf>
      <fill>
        <patternFill>
          <bgColor rgb="FFCCECFF"/>
        </patternFill>
      </fill>
    </dxf>
    <dxf>
      <fill>
        <patternFill>
          <bgColor rgb="FFFFCCCC"/>
        </patternFill>
      </fill>
    </dxf>
    <dxf>
      <fill>
        <patternFill>
          <bgColor rgb="FFA7DDFF"/>
        </patternFill>
      </fill>
    </dxf>
    <dxf>
      <font>
        <b val="0"/>
        <i val="0"/>
        <color auto="1"/>
      </font>
      <fill>
        <patternFill>
          <bgColor rgb="FFFFC000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ill>
        <patternFill>
          <bgColor theme="0" tint="-0.34998626667073579"/>
        </patternFill>
      </fill>
    </dxf>
    <dxf>
      <font>
        <b val="0"/>
        <i val="0"/>
        <color rgb="FFFFFF00"/>
      </font>
      <fill>
        <patternFill>
          <bgColor rgb="FFFF0000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0" defaultTableStyle="TableStyleMedium2" defaultPivotStyle="PivotStyleLight16"/>
  <colors>
    <mruColors>
      <color rgb="FF3333FF"/>
      <color rgb="FFA7DDFF"/>
      <color rgb="FFFF9999"/>
      <color rgb="FFFF66FF"/>
      <color rgb="FFDDE5FF"/>
      <color rgb="FF3366FF"/>
      <color rgb="FFCCECFF"/>
      <color rgb="FF006666"/>
      <color rgb="FF0033CC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C40"/>
  <sheetViews>
    <sheetView tabSelected="1" view="pageBreakPreview" zoomScaleNormal="100" zoomScaleSheetLayoutView="100" workbookViewId="0">
      <pane ySplit="5" topLeftCell="A6" activePane="bottomLeft" state="frozen"/>
      <selection pane="bottomLeft" activeCell="C6" sqref="C6"/>
    </sheetView>
  </sheetViews>
  <sheetFormatPr defaultColWidth="9" defaultRowHeight="14.25" customHeight="1"/>
  <cols>
    <col min="1" max="1" width="12.6640625" style="23" customWidth="1"/>
    <col min="2" max="2" width="5.6640625" style="23" customWidth="1"/>
    <col min="3" max="4" width="6.6640625" style="19" customWidth="1"/>
    <col min="5" max="9" width="7.6640625" style="19" hidden="1" customWidth="1"/>
    <col min="10" max="10" width="6.6640625" style="19" customWidth="1"/>
    <col min="11" max="11" width="2.109375" style="18" customWidth="1"/>
    <col min="12" max="12" width="6.6640625" style="19" customWidth="1"/>
    <col min="13" max="13" width="2.109375" style="18" customWidth="1"/>
    <col min="14" max="14" width="6.6640625" style="18" customWidth="1"/>
    <col min="15" max="15" width="6.6640625" style="20" customWidth="1"/>
    <col min="16" max="16" width="2.109375" style="21" customWidth="1"/>
    <col min="17" max="17" width="6.6640625" style="20" customWidth="1"/>
    <col min="18" max="18" width="6.6640625" style="22" customWidth="1"/>
    <col min="19" max="19" width="6.6640625" style="20" customWidth="1"/>
    <col min="20" max="20" width="2.109375" style="21" customWidth="1"/>
    <col min="21" max="21" width="6.6640625" style="20" customWidth="1"/>
    <col min="22" max="22" width="6.6640625" style="6" customWidth="1"/>
    <col min="23" max="23" width="2.109375" style="20" customWidth="1"/>
    <col min="24" max="24" width="14.6640625" style="20" customWidth="1"/>
    <col min="25" max="27" width="7.6640625" style="20" hidden="1" customWidth="1"/>
    <col min="28" max="28" width="7.88671875" style="20" hidden="1" customWidth="1"/>
    <col min="29" max="29" width="7.6640625" style="20" hidden="1" customWidth="1"/>
    <col min="30" max="32" width="6.6640625" style="20" customWidth="1"/>
    <col min="33" max="34" width="8.6640625" style="20" customWidth="1"/>
    <col min="35" max="35" width="3.44140625" style="6" customWidth="1"/>
    <col min="36" max="37" width="9" style="16" bestFit="1" customWidth="1"/>
    <col min="38" max="38" width="3.44140625" style="16" bestFit="1" customWidth="1"/>
    <col min="39" max="39" width="3.44140625" style="17" bestFit="1" customWidth="1"/>
    <col min="40" max="40" width="3.44140625" style="13" customWidth="1"/>
    <col min="41" max="41" width="3.44140625" style="17" bestFit="1" customWidth="1"/>
    <col min="42" max="42" width="3.44140625" style="16" bestFit="1" customWidth="1"/>
    <col min="43" max="43" width="3.44140625" style="17" bestFit="1" customWidth="1"/>
    <col min="44" max="44" width="3.44140625" style="13" customWidth="1"/>
    <col min="45" max="45" width="3.44140625" style="17" bestFit="1" customWidth="1"/>
    <col min="46" max="46" width="3.44140625" style="13" bestFit="1" customWidth="1"/>
    <col min="47" max="47" width="3.44140625" style="17" bestFit="1" customWidth="1"/>
    <col min="48" max="48" width="3.44140625" style="13" customWidth="1"/>
    <col min="49" max="49" width="3.44140625" style="17" bestFit="1" customWidth="1"/>
    <col min="50" max="50" width="11.6640625" style="6" bestFit="1" customWidth="1"/>
    <col min="51" max="52" width="9" style="6"/>
    <col min="53" max="53" width="7.44140625" style="45" hidden="1" customWidth="1"/>
    <col min="54" max="55" width="7.6640625" style="49" hidden="1" customWidth="1"/>
    <col min="56" max="16384" width="9" style="6"/>
  </cols>
  <sheetData>
    <row r="1" spans="1:55" ht="14.25" customHeight="1">
      <c r="A1" s="168">
        <v>8</v>
      </c>
      <c r="B1" s="168"/>
      <c r="D1" s="183" t="s">
        <v>31</v>
      </c>
      <c r="E1" s="184"/>
      <c r="F1" s="184"/>
      <c r="G1" s="184"/>
      <c r="H1" s="184"/>
      <c r="I1" s="184"/>
      <c r="J1" s="184"/>
      <c r="K1" s="184"/>
      <c r="L1" s="184"/>
      <c r="M1" s="185"/>
      <c r="N1" s="53" t="s">
        <v>85</v>
      </c>
      <c r="O1" s="179" t="s">
        <v>84</v>
      </c>
      <c r="P1" s="180"/>
      <c r="Q1" s="180"/>
      <c r="R1" s="181"/>
      <c r="S1" s="143" t="s">
        <v>1</v>
      </c>
      <c r="T1" s="144"/>
      <c r="U1" s="144"/>
      <c r="V1" s="24">
        <f>COUNT(AG6:AG36)</f>
        <v>0</v>
      </c>
      <c r="W1" s="145" t="s">
        <v>3</v>
      </c>
      <c r="X1" s="146"/>
      <c r="Y1" s="25"/>
      <c r="Z1" s="25"/>
      <c r="AA1" s="25"/>
      <c r="AB1" s="26"/>
      <c r="AC1" s="27"/>
      <c r="AD1" s="28">
        <f>COUNTIF(J:J,"振休")+(COUNTIF(J:J,"半振休")/2)</f>
        <v>0</v>
      </c>
      <c r="AE1" s="143" t="s">
        <v>5</v>
      </c>
      <c r="AF1" s="144"/>
      <c r="AG1" s="24">
        <f>COUNTIF(C:C,"欠勤控除")</f>
        <v>0</v>
      </c>
      <c r="AH1" s="41"/>
      <c r="AX1" s="16" t="s">
        <v>129</v>
      </c>
      <c r="BB1" s="49" t="s">
        <v>21</v>
      </c>
      <c r="BC1" s="50">
        <f>IF(R2&lt;&gt;"あり",TIME(9,0,0),TIME(11,0,0))</f>
        <v>0.375</v>
      </c>
    </row>
    <row r="2" spans="1:55" ht="14.25" customHeight="1">
      <c r="A2" s="29"/>
      <c r="B2" s="29"/>
      <c r="D2" s="186"/>
      <c r="E2" s="187"/>
      <c r="F2" s="187"/>
      <c r="G2" s="187"/>
      <c r="H2" s="187"/>
      <c r="I2" s="187"/>
      <c r="J2" s="187"/>
      <c r="K2" s="187"/>
      <c r="L2" s="187"/>
      <c r="M2" s="188"/>
      <c r="N2" s="54" t="s">
        <v>86</v>
      </c>
      <c r="O2" s="182"/>
      <c r="P2" s="182"/>
      <c r="Q2" s="54" t="s">
        <v>88</v>
      </c>
      <c r="R2" s="56"/>
      <c r="S2" s="143" t="s">
        <v>51</v>
      </c>
      <c r="T2" s="144"/>
      <c r="U2" s="144"/>
      <c r="V2" s="24">
        <f>COUNTIF(C:C,S2)</f>
        <v>0</v>
      </c>
      <c r="W2" s="145" t="s">
        <v>2</v>
      </c>
      <c r="X2" s="146"/>
      <c r="Y2" s="35"/>
      <c r="Z2" s="35"/>
      <c r="AA2" s="35"/>
      <c r="AB2" s="26"/>
      <c r="AC2" s="27"/>
      <c r="AD2" s="24">
        <f>COUNTIF(C:C,W2)</f>
        <v>0</v>
      </c>
      <c r="AE2" s="143" t="s">
        <v>6</v>
      </c>
      <c r="AF2" s="144"/>
      <c r="AG2" s="24">
        <f>COUNTIF(C:C,AE2)</f>
        <v>0</v>
      </c>
      <c r="AH2" s="41"/>
      <c r="AJ2" s="13"/>
      <c r="AK2" s="13"/>
      <c r="AL2" s="13"/>
      <c r="AP2" s="13"/>
      <c r="BB2" s="49" t="s">
        <v>22</v>
      </c>
      <c r="BC2" s="50">
        <f>IF(R2&lt;&gt;"あり",TIME(18,0,0),TIME(16,0,0))</f>
        <v>0.75</v>
      </c>
    </row>
    <row r="3" spans="1:55" ht="14.25" customHeight="1" thickBot="1">
      <c r="A3" s="30"/>
      <c r="B3" s="30"/>
      <c r="D3" s="86" t="s">
        <v>118</v>
      </c>
      <c r="E3" s="86"/>
      <c r="F3" s="86"/>
      <c r="G3" s="86"/>
      <c r="H3" s="86"/>
      <c r="I3" s="86"/>
      <c r="J3" s="189" t="s">
        <v>119</v>
      </c>
      <c r="K3" s="190"/>
      <c r="L3" s="190"/>
      <c r="M3" s="191"/>
      <c r="N3" s="55" t="s">
        <v>87</v>
      </c>
      <c r="O3" s="154" t="s">
        <v>83</v>
      </c>
      <c r="P3" s="155"/>
      <c r="Q3" s="155"/>
      <c r="R3" s="156"/>
      <c r="S3" s="175" t="s">
        <v>52</v>
      </c>
      <c r="T3" s="176"/>
      <c r="U3" s="176"/>
      <c r="V3" s="88">
        <f>SUM(F6:F36)+D38+V40</f>
        <v>0</v>
      </c>
      <c r="W3" s="177" t="s">
        <v>4</v>
      </c>
      <c r="X3" s="178"/>
      <c r="Y3" s="35"/>
      <c r="Z3" s="35"/>
      <c r="AA3" s="35"/>
      <c r="AB3" s="26"/>
      <c r="AC3" s="27"/>
      <c r="AD3" s="58">
        <f>SUM(H6:H36)</f>
        <v>0</v>
      </c>
      <c r="AE3" s="143" t="s">
        <v>7</v>
      </c>
      <c r="AF3" s="144"/>
      <c r="AG3" s="24">
        <f>COUNTIF(C:C,"記念日休暇")+COUNTIF(C:C,"夏期休暇")+COUNTIF(C:C,"冬期休暇")</f>
        <v>0</v>
      </c>
      <c r="AH3" s="41"/>
      <c r="AJ3" s="13"/>
      <c r="AK3" s="13"/>
      <c r="AL3" s="13"/>
      <c r="AP3" s="13"/>
    </row>
    <row r="4" spans="1:55" ht="18" customHeight="1" thickTop="1">
      <c r="A4" s="163" t="e">
        <f>EDATE(A6,1)</f>
        <v>#VALUE!</v>
      </c>
      <c r="B4" s="164"/>
      <c r="C4" s="169" t="s">
        <v>28</v>
      </c>
      <c r="D4" s="170"/>
      <c r="E4" s="170"/>
      <c r="F4" s="170"/>
      <c r="G4" s="170"/>
      <c r="H4" s="170"/>
      <c r="I4" s="170"/>
      <c r="J4" s="170"/>
      <c r="K4" s="170"/>
      <c r="L4" s="170"/>
      <c r="M4" s="171"/>
      <c r="N4" s="111"/>
      <c r="O4" s="172" t="s">
        <v>28</v>
      </c>
      <c r="P4" s="173"/>
      <c r="Q4" s="174"/>
      <c r="R4" s="111"/>
      <c r="S4" s="172" t="s">
        <v>28</v>
      </c>
      <c r="T4" s="173"/>
      <c r="U4" s="173"/>
      <c r="V4" s="173"/>
      <c r="W4" s="173"/>
      <c r="X4" s="174"/>
      <c r="Y4" s="4"/>
      <c r="Z4" s="4"/>
      <c r="AA4" s="4"/>
      <c r="AB4" s="5"/>
      <c r="AC4" s="5"/>
      <c r="AD4" s="149">
        <v>1.2083333333333333</v>
      </c>
      <c r="AE4" s="149"/>
      <c r="AF4" s="149"/>
      <c r="AG4" s="149"/>
      <c r="AH4" s="42"/>
      <c r="AJ4" s="7" t="s">
        <v>50</v>
      </c>
      <c r="AK4" s="7" t="s">
        <v>48</v>
      </c>
      <c r="AL4" s="7" t="s">
        <v>0</v>
      </c>
      <c r="AM4" s="8"/>
      <c r="AN4" s="7" t="s">
        <v>23</v>
      </c>
      <c r="AO4" s="8"/>
      <c r="AP4" s="7" t="s">
        <v>21</v>
      </c>
      <c r="AQ4" s="8"/>
      <c r="AR4" s="7" t="s">
        <v>20</v>
      </c>
      <c r="AS4" s="8"/>
      <c r="AT4" s="7" t="s">
        <v>24</v>
      </c>
      <c r="AU4" s="8"/>
      <c r="AV4" s="7" t="s">
        <v>22</v>
      </c>
      <c r="AW4" s="8"/>
    </row>
    <row r="5" spans="1:55" ht="39.6">
      <c r="A5" s="165"/>
      <c r="B5" s="166"/>
      <c r="C5" s="115" t="s">
        <v>12</v>
      </c>
      <c r="D5" s="36" t="s">
        <v>51</v>
      </c>
      <c r="E5" s="37" t="s">
        <v>55</v>
      </c>
      <c r="F5" s="37" t="s">
        <v>56</v>
      </c>
      <c r="G5" s="37" t="s">
        <v>57</v>
      </c>
      <c r="H5" s="37" t="s">
        <v>58</v>
      </c>
      <c r="I5" s="37" t="s">
        <v>59</v>
      </c>
      <c r="J5" s="157" t="s">
        <v>11</v>
      </c>
      <c r="K5" s="167"/>
      <c r="L5" s="157" t="s">
        <v>61</v>
      </c>
      <c r="M5" s="158"/>
      <c r="N5" s="112" t="s">
        <v>29</v>
      </c>
      <c r="O5" s="159" t="s">
        <v>9</v>
      </c>
      <c r="P5" s="160"/>
      <c r="Q5" s="124" t="s">
        <v>13</v>
      </c>
      <c r="R5" s="112" t="s">
        <v>30</v>
      </c>
      <c r="S5" s="159" t="s">
        <v>10</v>
      </c>
      <c r="T5" s="160"/>
      <c r="U5" s="9" t="s">
        <v>13</v>
      </c>
      <c r="V5" s="161" t="s">
        <v>20</v>
      </c>
      <c r="W5" s="162"/>
      <c r="X5" s="102" t="s">
        <v>8</v>
      </c>
      <c r="Y5" s="87" t="s">
        <v>25</v>
      </c>
      <c r="Z5" s="11" t="s">
        <v>26</v>
      </c>
      <c r="AA5" s="11" t="s">
        <v>27</v>
      </c>
      <c r="AB5" s="10" t="s">
        <v>18</v>
      </c>
      <c r="AC5" s="10" t="s">
        <v>17</v>
      </c>
      <c r="AD5" s="36" t="s">
        <v>14</v>
      </c>
      <c r="AE5" s="36" t="s">
        <v>15</v>
      </c>
      <c r="AF5" s="36" t="s">
        <v>16</v>
      </c>
      <c r="AG5" s="12" t="s">
        <v>73</v>
      </c>
      <c r="AH5" s="12" t="s">
        <v>74</v>
      </c>
      <c r="AJ5" s="7" t="s">
        <v>48</v>
      </c>
      <c r="AK5" s="7"/>
      <c r="AL5" s="7" t="s">
        <v>34</v>
      </c>
      <c r="AM5" s="8" t="s">
        <v>35</v>
      </c>
      <c r="AN5" s="7" t="s">
        <v>34</v>
      </c>
      <c r="AO5" s="8" t="s">
        <v>35</v>
      </c>
      <c r="AP5" s="7" t="s">
        <v>34</v>
      </c>
      <c r="AQ5" s="8" t="s">
        <v>35</v>
      </c>
      <c r="AR5" s="7" t="s">
        <v>34</v>
      </c>
      <c r="AS5" s="8" t="s">
        <v>35</v>
      </c>
      <c r="AT5" s="7" t="s">
        <v>34</v>
      </c>
      <c r="AU5" s="8" t="s">
        <v>35</v>
      </c>
      <c r="AV5" s="7" t="s">
        <v>34</v>
      </c>
      <c r="AW5" s="8" t="s">
        <v>35</v>
      </c>
      <c r="BA5" s="45" t="s">
        <v>80</v>
      </c>
      <c r="BB5" s="51" t="s">
        <v>81</v>
      </c>
      <c r="BC5" s="51" t="s">
        <v>82</v>
      </c>
    </row>
    <row r="6" spans="1:55" ht="15" customHeight="1">
      <c r="A6" s="59" t="s">
        <v>32</v>
      </c>
      <c r="B6" s="91" t="s">
        <v>54</v>
      </c>
      <c r="C6" s="116" t="str">
        <f t="shared" ref="C6" si="0">AJ6</f>
        <v/>
      </c>
      <c r="D6" s="60" t="str">
        <f t="shared" ref="D6" si="1">IF(E6&amp;F6="","",SUM(E6:F6))</f>
        <v/>
      </c>
      <c r="E6" s="61" t="str">
        <f t="shared" ref="E6" si="2">IF(OR(C6="有休",C6="記念日休暇",C6="慶弔"),TIMEVALUE($A$1&amp;":00"),"")</f>
        <v/>
      </c>
      <c r="F6" s="61" t="str">
        <f t="shared" ref="F6" si="3">IF(AND(RIGHT(C6,2)="有休",LEN(C6)=4),TIMEVALUE(LEFT(C6,1)&amp;":00"),"")</f>
        <v/>
      </c>
      <c r="G6" s="61" t="str">
        <f t="shared" ref="G6" si="4">IF(C6="振休",TIMEVALUE($A$1&amp;":00"),"")</f>
        <v/>
      </c>
      <c r="H6" s="61" t="str">
        <f t="shared" ref="H6" si="5">IF(AND(RIGHT(C6,2)="振休",LEN(C6)=4),TIMEVALUE(LEFT(C6,1)&amp;":00"),"")</f>
        <v/>
      </c>
      <c r="I6" s="61" t="str">
        <f t="shared" ref="I6" si="6">IF(J6="振休",TIMEVALUE($A$1&amp;":00"),IF(J6="半振休",TIMEVALUE("4:00"),""))</f>
        <v/>
      </c>
      <c r="J6" s="62"/>
      <c r="K6" s="31" t="e">
        <f t="shared" ref="K6" si="7">IF(AG6="","",IF(AND(J6="",OR(WEEKDAY(A6)=1,WEEKDAY(A6)=7,B6="祝日")),"！",""))</f>
        <v>#VALUE!</v>
      </c>
      <c r="L6" s="62"/>
      <c r="M6" s="117" t="e">
        <f>IF(AND(SUM(AH6)&gt;0,C6&lt;&gt;"欠勤控除",L6=""),"！","")</f>
        <v>#VALUE!</v>
      </c>
      <c r="N6" s="113" t="e">
        <f>IF(OR(AN6="",AN6&amp;AO6&amp;AT6&amp;AU6="0000"),IFERROR(IF(VLOOKUP(A6,打刻計算用!C:E,2)="","",VLOOKUP(A6,打刻計算用!C:E,2,FALSE)),""),TIMEVALUE(AN6&amp;":"&amp;AO6))</f>
        <v>#VALUE!</v>
      </c>
      <c r="O6" s="103" t="e">
        <f t="shared" ref="O6:O36" si="8">IF(OR(AP6="",AND(AP6=0,AQ6=0,AT6=0,AU6=0)),"",TIMEVALUE(AP6&amp;":"&amp;AQ6))</f>
        <v>#VALUE!</v>
      </c>
      <c r="P6" s="32" t="e">
        <f>IF(A6="","",IF(N6&gt;O6,"！",IF(AND(O6="",WEEKDAY(A6,2)&lt;=5,NOT(B6="祝日"),C6=""),"！",IF(AND(O6&lt;&gt;"",O6&lt;TIME(9,0,0),Q6&lt;&gt;所属・拠点・確認内容!$D$6,Q6&lt;&gt;所属・拠点・確認内容!$D$7,L6&lt;&gt;"在宅"),"！",IF(AND(O6&gt;$BC$1,SUM(AH6)&gt;0,L6="",Q6&lt;&gt;所属・拠点・確認内容!$D$5,Q6&lt;&gt;所属・拠点・確認内容!$D$7),"！","")))))</f>
        <v>#VALUE!</v>
      </c>
      <c r="Q6" s="125"/>
      <c r="R6" s="113" t="e">
        <f>IF(OR(AT6="",AN6&amp;AO6&amp;AT6&amp;AU6="0000"),IFERROR(IF(VLOOKUP(A6,打刻計算用!C:E,3,FALSE)="","",VLOOKUP(A6,打刻計算用!C:E,3,FALSE)),""),TIMEVALUE(AT6&amp;":"&amp;AU6))</f>
        <v>#VALUE!</v>
      </c>
      <c r="S6" s="103" t="e">
        <f t="shared" ref="S6" si="9">IF(OR(AV6="",AND(AP6=0,AQ6=0,AT6=0,AU6=0)),"",TIMEVALUE(AV6&amp;":"&amp;AW6))</f>
        <v>#VALUE!</v>
      </c>
      <c r="T6" s="32" t="e">
        <f>IF(AND(R6="",S6&lt;&gt;""),"！",IF(R6&lt;S6,"！",IF(AND(O6&lt;&gt;"",S6=""),"！",IF(AND(S6&lt;&gt;"",S6&gt;TIME(20,0,0),U6&lt;&gt;所属・拠点・確認内容!$E$5,U6&lt;&gt;所属・拠点・確認内容!$E$6),"！",IF(AND(S6&lt;$BC$2,AH6&gt;0,AH6&lt;&gt;"",L6="",U6&lt;&gt;所属・拠点・確認内容!$E$6),"！","")))))</f>
        <v>#VALUE!</v>
      </c>
      <c r="U6" s="34"/>
      <c r="V6" s="73" t="e">
        <f t="shared" ref="V6" si="10">IF(AR6="","",TIMEVALUE(AR6&amp;":"&amp;AS6))</f>
        <v>#VALUE!</v>
      </c>
      <c r="W6" s="33" t="e">
        <f t="shared" ref="W6" si="11">IF(OR(O6="",S6=""),"",IF(IF(V6="",0,ROUND(V6,3))-ROUND(SUM(Y6:AA6),3)&lt;0,"！",""))</f>
        <v>#VALUE!</v>
      </c>
      <c r="X6" s="104" t="s">
        <v>33</v>
      </c>
      <c r="Y6" s="72" t="e">
        <f>IF(OR(O6="",S6=""),"",IF(S6-O6&gt;TIMEVALUE("6:00"),TIMEVALUE("1:00"),TIMEVALUE("0:00")))</f>
        <v>#VALUE!</v>
      </c>
      <c r="Z6" s="72" t="e">
        <f>IF(OR(O6="",S6=""),"",MIN(MAX(S6-IF(Q6=所属・拠点・確認内容!$D$6,TIME(9,0,0),O6)-Y6-TIME(8,0,0),0),TIME(0,0,0)))</f>
        <v>#VALUE!</v>
      </c>
      <c r="AA6" s="72" t="e">
        <f>IF(OR(O6="",S6=""),"",MIN(MAX(S6-TIME(22,0,0),0),TIME(0,0,0)))</f>
        <v>#VALUE!</v>
      </c>
      <c r="AB6" s="75" t="e">
        <f>SUM($AG$6:AG6)</f>
        <v>#VALUE!</v>
      </c>
      <c r="AC6" s="60"/>
      <c r="AD6" s="76" t="e">
        <f t="shared" ref="AD6:AD15" si="12">IF(OR(A6="",AG6=""),"",IF(WEEKDAY(A6)=1,"",IF(S6&gt;=TIMEVALUE("22:00"),IF(S6&gt;=$AD$4,$AD$4,S6)-TIMEVALUE("22:00"),IF(O6&lt;=TIMEVALUE("5:00"),TIMEVALUE("5:00")-O6,""))))</f>
        <v>#VALUE!</v>
      </c>
      <c r="AE6" s="76" t="e">
        <f t="shared" ref="AE6:AE36" si="13">IF(OR(A6="",AG6=""),"",IF(WEEKDAY(A6)=1,AG6-IF(AF6="",0,AF6),""))</f>
        <v>#VALUE!</v>
      </c>
      <c r="AF6" s="76" t="e">
        <f t="shared" ref="AF6:AF36" si="14">IF(OR(A6="",AG6=""),"",IF(AND(WEEKDAY(A6)=1,S6&gt;=TIMEVALUE("22:00")),IF(S6&gt;=$AD$4,$AD$4,S6)-TIMEVALUE("22:00"),""))</f>
        <v>#VALUE!</v>
      </c>
      <c r="AG6" s="75" t="e">
        <f t="shared" ref="AG6:AG36" si="15">IF(OR(A6="",O6="",S6=""),"",IF(S6-O6-IF(V6="",0,V6)&lt;=0,"",S6-O6-IF(V6="",0,V6)))</f>
        <v>#VALUE!</v>
      </c>
      <c r="AH6" s="75" t="e">
        <f>IF(AND(BA6=1,L6&lt;&gt;"在宅"),IF(SUM(AG6,BC6)=0,MAX(TIME($A$1,0,0)-SUM(E6:H6),0),MAX(SUM(BC6)-SUM(E6:H6),0)),"")</f>
        <v>#VALUE!</v>
      </c>
      <c r="AI6" s="84" t="str">
        <f>IFERROR(IF(AND(VLOOKUP($A6,打刻計算用!$C:$M,9,FALSE),VLOOKUP($A6,打刻計算用!$C:$M,11,FALSE)),"♡","☠"),"")</f>
        <v/>
      </c>
      <c r="AJ6" s="13" t="str">
        <f t="shared" ref="AJ6:AJ36" si="16">IF(OR(AK6="**attendanceType",AK6="通常勤務",AK6=""),"",IF(LEFT(AK6,4)="時間有休",MID(AK6,6,2)&amp;"有休",IF(LEFT(AK6,4)="時間振休",MID(AK6,6,2)&amp;"振休",AK6)))</f>
        <v/>
      </c>
      <c r="AK6" s="13" t="s">
        <v>49</v>
      </c>
      <c r="AL6" s="13" t="s">
        <v>36</v>
      </c>
      <c r="AM6" s="14" t="s">
        <v>37</v>
      </c>
      <c r="AN6" s="13" t="s">
        <v>38</v>
      </c>
      <c r="AO6" s="14" t="s">
        <v>39</v>
      </c>
      <c r="AP6" s="13" t="s">
        <v>40</v>
      </c>
      <c r="AQ6" s="14" t="s">
        <v>41</v>
      </c>
      <c r="AR6" s="13" t="s">
        <v>42</v>
      </c>
      <c r="AS6" s="14" t="s">
        <v>43</v>
      </c>
      <c r="AT6" s="13" t="s">
        <v>44</v>
      </c>
      <c r="AU6" s="14" t="s">
        <v>45</v>
      </c>
      <c r="AV6" s="13" t="s">
        <v>46</v>
      </c>
      <c r="AW6" s="14" t="s">
        <v>47</v>
      </c>
      <c r="BA6" s="52" t="e">
        <f>IF($A6="",0,IF(OR($B6="祝日",C6="夏期休暇",C6="冬期休暇"),0,IF(WEEKDAY($A6,2)&lt;=5,1,0)))</f>
        <v>#VALUE!</v>
      </c>
      <c r="BB6" s="50" t="e">
        <f>IF($AG6="","",IF(OR($Q6&lt;&gt;"電車遅延",$O6&lt;=$BC$1),0,$O6-$BC$1))</f>
        <v>#VALUE!</v>
      </c>
      <c r="BC6" s="50" t="e">
        <f>IF($AG6="","",IF(OR($O6&lt;=$BC$1,$Q6=所属・拠点・確認内容!$D$7),0,$O6-$BC$1)+IF(OR($S6&gt;=$BC$2,$U6=所属・拠点・確認内容!$E$6),0,$BC$2-$S6)-BB6)</f>
        <v>#VALUE!</v>
      </c>
    </row>
    <row r="7" spans="1:55" ht="15" customHeight="1">
      <c r="A7" s="59"/>
      <c r="B7" s="91"/>
      <c r="C7" s="116" t="str">
        <f t="shared" ref="C7:C9" si="17">AJ7</f>
        <v/>
      </c>
      <c r="D7" s="60" t="str">
        <f t="shared" ref="D7:D9" si="18">IF(E7&amp;F7="","",SUM(E7:F7))</f>
        <v/>
      </c>
      <c r="E7" s="61" t="str">
        <f t="shared" ref="E7:E36" si="19">IF(OR(C7="有休",C7="記念日休暇",C7="慶弔"),TIMEVALUE($A$1&amp;":00"),"")</f>
        <v/>
      </c>
      <c r="F7" s="61" t="str">
        <f t="shared" ref="F7:F36" si="20">IF(AND(RIGHT(C7,2)="有休",LEN(C7)=4),TIMEVALUE(LEFT(C7,1)&amp;":00"),"")</f>
        <v/>
      </c>
      <c r="G7" s="61" t="str">
        <f t="shared" ref="G7:G36" si="21">IF(C7="振休",TIMEVALUE($A$1&amp;":00"),"")</f>
        <v/>
      </c>
      <c r="H7" s="61" t="str">
        <f t="shared" ref="H7:H36" si="22">IF(AND(RIGHT(C7,2)="振休",LEN(C7)=4),TIMEVALUE(LEFT(C7,1)&amp;":00"),"")</f>
        <v/>
      </c>
      <c r="I7" s="61" t="str">
        <f t="shared" ref="I7:I36" si="23">IF(J7="振休",TIMEVALUE($A$1&amp;":00"),IF(J7="半振休",TIMEVALUE("4:00"),""))</f>
        <v/>
      </c>
      <c r="J7" s="62"/>
      <c r="K7" s="31" t="str">
        <f t="shared" ref="K7:K9" si="24">IF(AG7="","",IF(AND(J7="",OR(WEEKDAY(A7)=1,WEEKDAY(A7)=7,B7="祝日")),"！",""))</f>
        <v/>
      </c>
      <c r="L7" s="62"/>
      <c r="M7" s="117" t="str">
        <f>IF(AND(SUM(AH7)&gt;0,C7="",L7="",Q7&lt;&gt;所属・拠点・確認内容!$D$7,U7&lt;&gt;所属・拠点・確認内容!$E$6),"！","")</f>
        <v/>
      </c>
      <c r="N7" s="113" t="str">
        <f>IF(OR(AN7="",AN7&amp;AO7&amp;AT7&amp;AU7="0000"),IFERROR(IF(VLOOKUP(A7,打刻計算用!C:E,2)="","",VLOOKUP(A7,打刻計算用!C:E,2,FALSE)),""),TIMEVALUE(AN7&amp;":"&amp;AO7))</f>
        <v/>
      </c>
      <c r="O7" s="103" t="str">
        <f t="shared" si="8"/>
        <v/>
      </c>
      <c r="P7" s="32" t="str">
        <f>IF(A7="","",IF(N7&gt;O7,"！",IF(AND(O7="",WEEKDAY(A7,2)&lt;=5,NOT(B7="祝日"),C7=""),"！",IF(AND(O7&lt;&gt;"",O7&lt;TIME(9,0,0),Q7&lt;&gt;所属・拠点・確認内容!$D$6,Q7&lt;&gt;所属・拠点・確認内容!$D$7,L7&lt;&gt;"在宅"),"！",IF(AND(O7&gt;$BC$1,SUM(AH7)&gt;0,L7="",Q7&lt;&gt;所属・拠点・確認内容!$D$5,Q7&lt;&gt;所属・拠点・確認内容!$D$7),"！","")))))</f>
        <v/>
      </c>
      <c r="Q7" s="125"/>
      <c r="R7" s="113" t="str">
        <f>IF(OR(AT7="",AN7&amp;AO7&amp;AT7&amp;AU7="0000"),IFERROR(IF(VLOOKUP(A7,打刻計算用!C:E,3,FALSE)="","",VLOOKUP(A7,打刻計算用!C:E,3,FALSE)),""),TIMEVALUE(AT7&amp;":"&amp;AU7))</f>
        <v/>
      </c>
      <c r="S7" s="103" t="str">
        <f t="shared" ref="S7:S9" si="25">IF(OR(AV7="",AND(AP7=0,AQ7=0,AT7=0,AU7=0)),"",TIMEVALUE(AV7&amp;":"&amp;AW7))</f>
        <v/>
      </c>
      <c r="T7" s="32" t="str">
        <f>IF(AND(R7="",S7&lt;&gt;""),"！",IF(R7&lt;S7,"！",IF(AND(O7&lt;&gt;"",S7=""),"！",IF(AND(S7&lt;&gt;"",S7&gt;TIME(20,0,0),U7&lt;&gt;所属・拠点・確認内容!$E$5,U7&lt;&gt;所属・拠点・確認内容!$E$6),"！",IF(AND(S7&lt;$BC$2,AH7&gt;0,AH7&lt;&gt;"",L7="",U7&lt;&gt;所属・拠点・確認内容!$E$6),"！","")))))</f>
        <v/>
      </c>
      <c r="U7" s="34"/>
      <c r="V7" s="73" t="str">
        <f t="shared" ref="V7:V9" si="26">IF(AR7="","",TIMEVALUE(AR7&amp;":"&amp;AS7))</f>
        <v/>
      </c>
      <c r="W7" s="33" t="str">
        <f t="shared" ref="W7:W9" si="27">IF(OR(O7="",S7=""),"",IF(IF(V7="",0,ROUND(V7,3))-ROUND(SUM(Y7:AA7),3)&lt;0,"！",""))</f>
        <v/>
      </c>
      <c r="X7" s="104"/>
      <c r="Y7" s="72" t="str">
        <f t="shared" ref="Y7:Y36" si="28">IF(OR(O7="",S7=""),"",IF(S7-O7&gt;TIMEVALUE("6:00"),TIMEVALUE("1:00"),TIMEVALUE("0:00")))</f>
        <v/>
      </c>
      <c r="Z7" s="72" t="str">
        <f>IF(OR(O7="",S7=""),"",MIN(MAX(S7-IF(Q7=所属・拠点・確認内容!$D$6,TIME(9,0,0),O7)-Y7-TIME(8,0,0),0),TIME(0,0,0)))</f>
        <v/>
      </c>
      <c r="AA7" s="72" t="str">
        <f t="shared" ref="AA7:AA36" si="29">IF(OR(O7="",S7=""),"",MIN(MAX(S7-TIME(22,0,0),0),TIME(0,0,0)))</f>
        <v/>
      </c>
      <c r="AB7" s="75" t="e">
        <f>SUM($AG$6:AG7)</f>
        <v>#VALUE!</v>
      </c>
      <c r="AC7" s="60"/>
      <c r="AD7" s="76" t="str">
        <f t="shared" si="12"/>
        <v/>
      </c>
      <c r="AE7" s="76" t="str">
        <f t="shared" si="13"/>
        <v/>
      </c>
      <c r="AF7" s="76" t="str">
        <f t="shared" si="14"/>
        <v/>
      </c>
      <c r="AG7" s="75" t="str">
        <f t="shared" si="15"/>
        <v/>
      </c>
      <c r="AH7" s="75" t="str">
        <f t="shared" ref="AH7:AH36" si="30">IF(AND(BA7=1,L7&lt;&gt;"在宅"),IF(SUM(AG7,BC7)=0,MAX(TIME($A$1,0,0)-SUM(E7:H7),0),MAX(SUM(BC7)-SUM(E7:H7),0)),"")</f>
        <v/>
      </c>
      <c r="AI7" s="85" t="str">
        <f>IFERROR(IF(AND(VLOOKUP($A7,打刻計算用!$C:$M,9,FALSE),VLOOKUP($A7,打刻計算用!$C:$M,11,FALSE)),"♡","☠"),"")</f>
        <v/>
      </c>
      <c r="AJ7" s="13" t="str">
        <f t="shared" si="16"/>
        <v/>
      </c>
      <c r="AK7" s="13"/>
      <c r="AL7" s="13"/>
      <c r="AM7" s="14"/>
      <c r="AO7" s="14"/>
      <c r="AP7" s="13"/>
      <c r="AQ7" s="14"/>
      <c r="AS7" s="14"/>
      <c r="AU7" s="14"/>
      <c r="AW7" s="14"/>
      <c r="BA7" s="52">
        <f t="shared" ref="BA7:BA36" si="31">IF($A7="",0,IF(OR($B7="祝日",C7="夏期休暇",C7="冬期休暇"),0,IF(WEEKDAY($A7,2)&lt;=5,1,0)))</f>
        <v>0</v>
      </c>
      <c r="BB7" s="50" t="str">
        <f t="shared" ref="BB7:BB36" si="32">IF($AG7="","",IF(OR($Q7&lt;&gt;"電車遅延",$O7&lt;=$BC$1),0,$O7-$BC$1))</f>
        <v/>
      </c>
      <c r="BC7" s="50" t="str">
        <f>IF($AG7="","",IF(OR($O7&lt;=$BC$1,$Q7=所属・拠点・確認内容!$D$7),0,$O7-$BC$1)+IF(OR($S7&gt;=$BC$2,$U7=所属・拠点・確認内容!$E$6),0,$BC$2-$S7)-BB7)</f>
        <v/>
      </c>
    </row>
    <row r="8" spans="1:55" ht="15" customHeight="1">
      <c r="A8" s="59"/>
      <c r="B8" s="91"/>
      <c r="C8" s="116" t="str">
        <f t="shared" ref="C8" si="33">AJ8</f>
        <v/>
      </c>
      <c r="D8" s="60" t="str">
        <f t="shared" si="18"/>
        <v/>
      </c>
      <c r="E8" s="61" t="str">
        <f t="shared" si="19"/>
        <v/>
      </c>
      <c r="F8" s="61" t="str">
        <f t="shared" si="20"/>
        <v/>
      </c>
      <c r="G8" s="61" t="str">
        <f t="shared" si="21"/>
        <v/>
      </c>
      <c r="H8" s="61" t="str">
        <f t="shared" si="22"/>
        <v/>
      </c>
      <c r="I8" s="61" t="str">
        <f t="shared" si="23"/>
        <v/>
      </c>
      <c r="J8" s="62"/>
      <c r="K8" s="31" t="str">
        <f t="shared" ref="K8" si="34">IF(AG8="","",IF(AND(J8="",OR(WEEKDAY(A8)=1,WEEKDAY(A8)=7,B8="祝日")),"！",""))</f>
        <v/>
      </c>
      <c r="L8" s="62"/>
      <c r="M8" s="117" t="str">
        <f>IF(AND(SUM(AH8)&gt;0,C8="",L8="",Q8&lt;&gt;所属・拠点・確認内容!$D$7,U8&lt;&gt;所属・拠点・確認内容!$E$6),"！","")</f>
        <v/>
      </c>
      <c r="N8" s="113" t="str">
        <f>IF(OR(AN8="",AN8&amp;AO8&amp;AT8&amp;AU8="0000"),IFERROR(IF(VLOOKUP(A8,打刻計算用!C:E,2)="","",VLOOKUP(A8,打刻計算用!C:E,2,FALSE)),""),TIMEVALUE(AN8&amp;":"&amp;AO8))</f>
        <v/>
      </c>
      <c r="O8" s="103" t="str">
        <f t="shared" si="8"/>
        <v/>
      </c>
      <c r="P8" s="32" t="str">
        <f>IF(A8="","",IF(N8&gt;O8,"！",IF(AND(O8="",WEEKDAY(A8,2)&lt;=5,NOT(B8="祝日"),C8=""),"！",IF(AND(O8&lt;&gt;"",O8&lt;TIME(9,0,0),Q8&lt;&gt;所属・拠点・確認内容!$D$6,Q8&lt;&gt;所属・拠点・確認内容!$D$7,L8&lt;&gt;"在宅"),"！",IF(AND(O8&gt;$BC$1,SUM(AH8)&gt;0,L8="",Q8&lt;&gt;所属・拠点・確認内容!$D$5,Q8&lt;&gt;所属・拠点・確認内容!$D$7),"！","")))))</f>
        <v/>
      </c>
      <c r="Q8" s="125"/>
      <c r="R8" s="113" t="str">
        <f>IF(OR(AT8="",AN8&amp;AO8&amp;AT8&amp;AU8="0000"),IFERROR(IF(VLOOKUP(A8,打刻計算用!C:E,3,FALSE)="","",VLOOKUP(A8,打刻計算用!C:E,3,FALSE)),""),TIMEVALUE(AT8&amp;":"&amp;AU8))</f>
        <v/>
      </c>
      <c r="S8" s="103" t="str">
        <f t="shared" ref="S8" si="35">IF(OR(AV8="",AND(AP8=0,AQ8=0,AT8=0,AU8=0)),"",TIMEVALUE(AV8&amp;":"&amp;AW8))</f>
        <v/>
      </c>
      <c r="T8" s="32" t="str">
        <f>IF(AND(R8="",S8&lt;&gt;""),"！",IF(R8&lt;S8,"！",IF(AND(O8&lt;&gt;"",S8=""),"！",IF(AND(S8&lt;&gt;"",S8&gt;TIME(20,0,0),U8&lt;&gt;所属・拠点・確認内容!$E$5,U8&lt;&gt;所属・拠点・確認内容!$E$6),"！",IF(AND(S8&lt;$BC$2,AH8&gt;0,AH8&lt;&gt;"",L8="",U8&lt;&gt;所属・拠点・確認内容!$E$6),"！","")))))</f>
        <v/>
      </c>
      <c r="U8" s="34"/>
      <c r="V8" s="73" t="str">
        <f t="shared" ref="V8" si="36">IF(AR8="","",TIMEVALUE(AR8&amp;":"&amp;AS8))</f>
        <v/>
      </c>
      <c r="W8" s="33" t="str">
        <f t="shared" ref="W8" si="37">IF(OR(O8="",S8=""),"",IF(IF(V8="",0,ROUND(V8,3))-ROUND(SUM(Y8:AA8),3)&lt;0,"！",""))</f>
        <v/>
      </c>
      <c r="X8" s="104"/>
      <c r="Y8" s="72" t="str">
        <f t="shared" si="28"/>
        <v/>
      </c>
      <c r="Z8" s="72" t="str">
        <f>IF(OR(O8="",S8=""),"",MIN(MAX(S8-IF(Q8=所属・拠点・確認内容!$D$6,TIME(9,0,0),O8)-Y8-TIME(8,0,0),0),TIME(0,0,0)))</f>
        <v/>
      </c>
      <c r="AA8" s="72" t="str">
        <f t="shared" ref="AA8" si="38">IF(OR(O8="",S8=""),"",MIN(MAX(S8-TIME(22,0,0),0),TIME(0,0,0)))</f>
        <v/>
      </c>
      <c r="AB8" s="75" t="e">
        <f>SUM($AG$6:AG8)</f>
        <v>#VALUE!</v>
      </c>
      <c r="AC8" s="60"/>
      <c r="AD8" s="76" t="str">
        <f t="shared" ref="AD8" si="39">IF(OR(A8="",AG8=""),"",IF(WEEKDAY(A8)=1,"",IF(S8&gt;=TIMEVALUE("22:00"),IF(S8&gt;=$AD$4,$AD$4,S8)-TIMEVALUE("22:00"),IF(O8&lt;=TIMEVALUE("5:00"),TIMEVALUE("5:00")-O8,""))))</f>
        <v/>
      </c>
      <c r="AE8" s="76" t="str">
        <f t="shared" ref="AE8" si="40">IF(OR(A8="",AG8=""),"",IF(WEEKDAY(A8)=1,AG8-IF(AF8="",0,AF8),""))</f>
        <v/>
      </c>
      <c r="AF8" s="76" t="str">
        <f t="shared" ref="AF8" si="41">IF(OR(A8="",AG8=""),"",IF(AND(WEEKDAY(A8)=1,S8&gt;=TIMEVALUE("22:00")),IF(S8&gt;=$AD$4,$AD$4,S8)-TIMEVALUE("22:00"),""))</f>
        <v/>
      </c>
      <c r="AG8" s="75" t="str">
        <f t="shared" ref="AG8" si="42">IF(OR(A8="",O8="",S8=""),"",IF(S8-O8-IF(V8="",0,V8)&lt;=0,"",S8-O8-IF(V8="",0,V8)))</f>
        <v/>
      </c>
      <c r="AH8" s="75" t="str">
        <f t="shared" si="30"/>
        <v/>
      </c>
      <c r="AI8" s="85" t="str">
        <f>IFERROR(IF(AND(VLOOKUP($A8,打刻計算用!$C:$M,9,FALSE),VLOOKUP($A8,打刻計算用!$C:$M,11,FALSE)),"♡","☠"),"")</f>
        <v/>
      </c>
      <c r="AJ8" s="13" t="str">
        <f t="shared" si="16"/>
        <v/>
      </c>
      <c r="AK8" s="13"/>
      <c r="AL8" s="13"/>
      <c r="AM8" s="14"/>
      <c r="AO8" s="14"/>
      <c r="AP8" s="13"/>
      <c r="AQ8" s="14"/>
      <c r="AS8" s="14"/>
      <c r="AU8" s="14"/>
      <c r="AW8" s="14"/>
      <c r="BA8" s="52">
        <f t="shared" si="31"/>
        <v>0</v>
      </c>
      <c r="BB8" s="50" t="str">
        <f t="shared" si="32"/>
        <v/>
      </c>
      <c r="BC8" s="50" t="str">
        <f>IF($AG8="","",IF(OR($O8&lt;=$BC$1,$Q8=所属・拠点・確認内容!$D$7),0,$O8-$BC$1)+IF(OR($S8&gt;=$BC$2,$U8=所属・拠点・確認内容!$E$6),0,$BC$2-$S8)-BB8)</f>
        <v/>
      </c>
    </row>
    <row r="9" spans="1:55" ht="15" customHeight="1">
      <c r="A9" s="59"/>
      <c r="B9" s="91"/>
      <c r="C9" s="116" t="str">
        <f t="shared" si="17"/>
        <v/>
      </c>
      <c r="D9" s="60" t="str">
        <f t="shared" si="18"/>
        <v/>
      </c>
      <c r="E9" s="61" t="str">
        <f t="shared" si="19"/>
        <v/>
      </c>
      <c r="F9" s="61" t="str">
        <f t="shared" si="20"/>
        <v/>
      </c>
      <c r="G9" s="61" t="str">
        <f t="shared" si="21"/>
        <v/>
      </c>
      <c r="H9" s="61" t="str">
        <f t="shared" si="22"/>
        <v/>
      </c>
      <c r="I9" s="61" t="str">
        <f t="shared" si="23"/>
        <v/>
      </c>
      <c r="J9" s="62"/>
      <c r="K9" s="31" t="str">
        <f t="shared" si="24"/>
        <v/>
      </c>
      <c r="L9" s="62"/>
      <c r="M9" s="117" t="str">
        <f>IF(AND(SUM(AH9)&gt;0,C9="",L9="",Q9&lt;&gt;所属・拠点・確認内容!$D$7,U9&lt;&gt;所属・拠点・確認内容!$E$6),"！","")</f>
        <v/>
      </c>
      <c r="N9" s="113" t="str">
        <f>IF(OR(AN9="",AN9&amp;AO9&amp;AT9&amp;AU9="0000"),IFERROR(IF(VLOOKUP(A9,打刻計算用!C:E,2)="","",VLOOKUP(A9,打刻計算用!C:E,2,FALSE)),""),TIMEVALUE(AN9&amp;":"&amp;AO9))</f>
        <v/>
      </c>
      <c r="O9" s="103" t="str">
        <f t="shared" si="8"/>
        <v/>
      </c>
      <c r="P9" s="32" t="str">
        <f>IF(A9="","",IF(N9&gt;O9,"！",IF(AND(O9="",WEEKDAY(A9,2)&lt;=5,NOT(B9="祝日"),C9=""),"！",IF(AND(O9&lt;&gt;"",O9&lt;TIME(9,0,0),Q9&lt;&gt;所属・拠点・確認内容!$D$6,Q9&lt;&gt;所属・拠点・確認内容!$D$7,L9&lt;&gt;"在宅"),"！",IF(AND(O9&gt;$BC$1,SUM(AH9)&gt;0,L9="",Q9&lt;&gt;所属・拠点・確認内容!$D$5,Q9&lt;&gt;所属・拠点・確認内容!$D$7),"！","")))))</f>
        <v/>
      </c>
      <c r="Q9" s="125"/>
      <c r="R9" s="113" t="str">
        <f>IF(OR(AT9="",AN9&amp;AO9&amp;AT9&amp;AU9="0000"),IFERROR(IF(VLOOKUP(A9,打刻計算用!C:E,3,FALSE)="","",VLOOKUP(A9,打刻計算用!C:E,3,FALSE)),""),TIMEVALUE(AT9&amp;":"&amp;AU9))</f>
        <v/>
      </c>
      <c r="S9" s="103" t="str">
        <f t="shared" si="25"/>
        <v/>
      </c>
      <c r="T9" s="32" t="str">
        <f>IF(AND(R9="",S9&lt;&gt;""),"！",IF(R9&lt;S9,"！",IF(AND(O9&lt;&gt;"",S9=""),"！",IF(AND(S9&lt;&gt;"",S9&gt;TIME(20,0,0),U9&lt;&gt;所属・拠点・確認内容!$E$5,U9&lt;&gt;所属・拠点・確認内容!$E$6),"！",IF(AND(S9&lt;$BC$2,AH9&gt;0,AH9&lt;&gt;"",L9="",U9&lt;&gt;所属・拠点・確認内容!$E$6),"！","")))))</f>
        <v/>
      </c>
      <c r="U9" s="34"/>
      <c r="V9" s="73" t="str">
        <f t="shared" si="26"/>
        <v/>
      </c>
      <c r="W9" s="33" t="str">
        <f t="shared" si="27"/>
        <v/>
      </c>
      <c r="X9" s="104"/>
      <c r="Y9" s="72" t="str">
        <f t="shared" si="28"/>
        <v/>
      </c>
      <c r="Z9" s="72" t="str">
        <f>IF(OR(O9="",S9=""),"",MIN(MAX(S9-IF(Q9=所属・拠点・確認内容!$D$6,TIME(9,0,0),O9)-Y9-TIME(8,0,0),0),TIME(0,0,0)))</f>
        <v/>
      </c>
      <c r="AA9" s="72" t="str">
        <f t="shared" si="29"/>
        <v/>
      </c>
      <c r="AB9" s="75" t="e">
        <f>SUM($AG$6:AG9)</f>
        <v>#VALUE!</v>
      </c>
      <c r="AC9" s="60"/>
      <c r="AD9" s="76" t="str">
        <f t="shared" si="12"/>
        <v/>
      </c>
      <c r="AE9" s="76" t="str">
        <f t="shared" si="13"/>
        <v/>
      </c>
      <c r="AF9" s="76" t="str">
        <f t="shared" si="14"/>
        <v/>
      </c>
      <c r="AG9" s="75" t="str">
        <f t="shared" si="15"/>
        <v/>
      </c>
      <c r="AH9" s="75" t="str">
        <f t="shared" si="30"/>
        <v/>
      </c>
      <c r="AI9" s="85" t="str">
        <f>IFERROR(IF(AND(VLOOKUP($A9,打刻計算用!$C:$M,9,FALSE),VLOOKUP($A9,打刻計算用!$C:$M,11,FALSE)),"♡","☠"),"")</f>
        <v/>
      </c>
      <c r="AJ9" s="13" t="str">
        <f t="shared" si="16"/>
        <v/>
      </c>
      <c r="AK9" s="13"/>
      <c r="AL9" s="13"/>
      <c r="AM9" s="14"/>
      <c r="AO9" s="14"/>
      <c r="AP9" s="13"/>
      <c r="AQ9" s="14"/>
      <c r="AS9" s="14"/>
      <c r="AU9" s="14"/>
      <c r="AW9" s="14"/>
      <c r="BA9" s="52">
        <f t="shared" si="31"/>
        <v>0</v>
      </c>
      <c r="BB9" s="50" t="str">
        <f t="shared" si="32"/>
        <v/>
      </c>
      <c r="BC9" s="50" t="str">
        <f>IF($AG9="","",IF(OR($O9&lt;=$BC$1,$Q9=所属・拠点・確認内容!$D$7),0,$O9-$BC$1)+IF(OR($S9&gt;=$BC$2,$U9=所属・拠点・確認内容!$E$6),0,$BC$2-$S9)-BB9)</f>
        <v/>
      </c>
    </row>
    <row r="10" spans="1:55" ht="15" customHeight="1">
      <c r="A10" s="59"/>
      <c r="B10" s="91"/>
      <c r="C10" s="116" t="str">
        <f t="shared" ref="C10:C36" si="43">AJ10</f>
        <v/>
      </c>
      <c r="D10" s="60" t="str">
        <f t="shared" ref="D10:D36" si="44">IF(E10&amp;F10="","",SUM(E10:F10))</f>
        <v/>
      </c>
      <c r="E10" s="61" t="str">
        <f t="shared" si="19"/>
        <v/>
      </c>
      <c r="F10" s="61" t="str">
        <f t="shared" si="20"/>
        <v/>
      </c>
      <c r="G10" s="61" t="str">
        <f t="shared" si="21"/>
        <v/>
      </c>
      <c r="H10" s="61" t="str">
        <f t="shared" si="22"/>
        <v/>
      </c>
      <c r="I10" s="61" t="str">
        <f t="shared" si="23"/>
        <v/>
      </c>
      <c r="J10" s="62"/>
      <c r="K10" s="31" t="str">
        <f t="shared" ref="K10:K36" si="45">IF(AG10="","",IF(AND(J10="",OR(WEEKDAY(A10)=1,WEEKDAY(A10)=7,B10="祝日")),"！",""))</f>
        <v/>
      </c>
      <c r="L10" s="62"/>
      <c r="M10" s="117" t="str">
        <f>IF(AND(SUM(AH10)&gt;0,C10="",L10="",Q10&lt;&gt;所属・拠点・確認内容!$D$7,U10&lt;&gt;所属・拠点・確認内容!$E$6),"！","")</f>
        <v/>
      </c>
      <c r="N10" s="113" t="str">
        <f>IF(OR(AN10="",AN10&amp;AO10&amp;AT10&amp;AU10="0000"),IFERROR(IF(VLOOKUP(A10,打刻計算用!C:E,2)="","",VLOOKUP(A10,打刻計算用!C:E,2,FALSE)),""),TIMEVALUE(AN10&amp;":"&amp;AO10))</f>
        <v/>
      </c>
      <c r="O10" s="103" t="str">
        <f t="shared" si="8"/>
        <v/>
      </c>
      <c r="P10" s="32" t="str">
        <f>IF(A10="","",IF(N10&gt;O10,"！",IF(AND(O10="",WEEKDAY(A10,2)&lt;=5,NOT(B10="祝日"),C10=""),"！",IF(AND(O10&lt;&gt;"",O10&lt;TIME(9,0,0),Q10&lt;&gt;所属・拠点・確認内容!$D$6,Q10&lt;&gt;所属・拠点・確認内容!$D$7,L10&lt;&gt;"在宅"),"！",IF(AND(O10&gt;$BC$1,SUM(AH10)&gt;0,L10="",Q10&lt;&gt;所属・拠点・確認内容!$D$5,Q10&lt;&gt;所属・拠点・確認内容!$D$7),"！","")))))</f>
        <v/>
      </c>
      <c r="Q10" s="125"/>
      <c r="R10" s="113" t="str">
        <f>IF(OR(AT10="",AN10&amp;AO10&amp;AT10&amp;AU10="0000"),IFERROR(IF(VLOOKUP(A10,打刻計算用!C:E,3,FALSE)="","",VLOOKUP(A10,打刻計算用!C:E,3,FALSE)),""),TIMEVALUE(AT10&amp;":"&amp;AU10))</f>
        <v/>
      </c>
      <c r="S10" s="103" t="str">
        <f t="shared" ref="S10:S36" si="46">IF(OR(AV10="",AND(AP10=0,AQ10=0,AT10=0,AU10=0)),"",TIMEVALUE(AV10&amp;":"&amp;AW10))</f>
        <v/>
      </c>
      <c r="T10" s="32" t="str">
        <f>IF(AND(R10="",S10&lt;&gt;""),"！",IF(R10&lt;S10,"！",IF(AND(O10&lt;&gt;"",S10=""),"！",IF(AND(S10&lt;&gt;"",S10&gt;TIME(20,0,0),U10&lt;&gt;所属・拠点・確認内容!$E$5,U10&lt;&gt;所属・拠点・確認内容!$E$6),"！",IF(AND(S10&lt;$BC$2,AH10&gt;0,AH10&lt;&gt;"",L10="",U10&lt;&gt;所属・拠点・確認内容!$E$6),"！","")))))</f>
        <v/>
      </c>
      <c r="U10" s="34"/>
      <c r="V10" s="73" t="str">
        <f t="shared" ref="V10:V36" si="47">IF(AR10="","",TIMEVALUE(AR10&amp;":"&amp;AS10))</f>
        <v/>
      </c>
      <c r="W10" s="33" t="str">
        <f t="shared" ref="W10:W36" si="48">IF(OR(O10="",S10=""),"",IF(IF(V10="",0,ROUND(V10,3))-ROUND(SUM(Y10:AA10),3)&lt;0,"！",""))</f>
        <v/>
      </c>
      <c r="X10" s="104"/>
      <c r="Y10" s="72" t="str">
        <f t="shared" si="28"/>
        <v/>
      </c>
      <c r="Z10" s="72" t="str">
        <f>IF(OR(O10="",S10=""),"",MIN(MAX(S10-IF(Q10=所属・拠点・確認内容!$D$6,TIME(9,0,0),O10)-Y10-TIME(8,0,0),0),TIME(0,0,0)))</f>
        <v/>
      </c>
      <c r="AA10" s="72" t="str">
        <f t="shared" si="29"/>
        <v/>
      </c>
      <c r="AB10" s="75" t="e">
        <f>SUM($AG$6:AG10)</f>
        <v>#VALUE!</v>
      </c>
      <c r="AC10" s="60"/>
      <c r="AD10" s="76" t="str">
        <f t="shared" si="12"/>
        <v/>
      </c>
      <c r="AE10" s="76" t="str">
        <f t="shared" si="13"/>
        <v/>
      </c>
      <c r="AF10" s="76" t="str">
        <f t="shared" si="14"/>
        <v/>
      </c>
      <c r="AG10" s="75" t="str">
        <f t="shared" si="15"/>
        <v/>
      </c>
      <c r="AH10" s="75" t="str">
        <f t="shared" si="30"/>
        <v/>
      </c>
      <c r="AI10" s="85" t="str">
        <f>IFERROR(IF(AND(VLOOKUP($A10,打刻計算用!$C:$M,9,FALSE),VLOOKUP($A10,打刻計算用!$C:$M,11,FALSE)),"♡","☠"),"")</f>
        <v/>
      </c>
      <c r="AJ10" s="13" t="str">
        <f t="shared" si="16"/>
        <v/>
      </c>
      <c r="AK10" s="13"/>
      <c r="AL10" s="13"/>
      <c r="AM10" s="14"/>
      <c r="AO10" s="14"/>
      <c r="AP10" s="13"/>
      <c r="AQ10" s="14"/>
      <c r="AS10" s="14"/>
      <c r="AU10" s="14"/>
      <c r="AW10" s="14"/>
      <c r="BA10" s="52">
        <f t="shared" si="31"/>
        <v>0</v>
      </c>
      <c r="BB10" s="50" t="str">
        <f t="shared" si="32"/>
        <v/>
      </c>
      <c r="BC10" s="50" t="str">
        <f>IF($AG10="","",IF(OR($O10&lt;=$BC$1,$Q10=所属・拠点・確認内容!$D$7),0,$O10-$BC$1)+IF(OR($S10&gt;=$BC$2,$U10=所属・拠点・確認内容!$E$6),0,$BC$2-$S10)-BB10)</f>
        <v/>
      </c>
    </row>
    <row r="11" spans="1:55" ht="15" customHeight="1">
      <c r="A11" s="59"/>
      <c r="B11" s="91"/>
      <c r="C11" s="116" t="str">
        <f t="shared" si="43"/>
        <v/>
      </c>
      <c r="D11" s="60" t="str">
        <f t="shared" si="44"/>
        <v/>
      </c>
      <c r="E11" s="61" t="str">
        <f t="shared" si="19"/>
        <v/>
      </c>
      <c r="F11" s="61" t="str">
        <f t="shared" si="20"/>
        <v/>
      </c>
      <c r="G11" s="61" t="str">
        <f t="shared" si="21"/>
        <v/>
      </c>
      <c r="H11" s="61" t="str">
        <f t="shared" si="22"/>
        <v/>
      </c>
      <c r="I11" s="61" t="str">
        <f t="shared" si="23"/>
        <v/>
      </c>
      <c r="J11" s="62"/>
      <c r="K11" s="31" t="str">
        <f t="shared" si="45"/>
        <v/>
      </c>
      <c r="L11" s="62"/>
      <c r="M11" s="117" t="str">
        <f>IF(AND(SUM(AH11)&gt;0,C11="",L11="",Q11&lt;&gt;所属・拠点・確認内容!$D$7,U11&lt;&gt;所属・拠点・確認内容!$E$6),"！","")</f>
        <v/>
      </c>
      <c r="N11" s="113" t="str">
        <f>IF(OR(AN11="",AN11&amp;AO11&amp;AT11&amp;AU11="0000"),IFERROR(IF(VLOOKUP(A11,打刻計算用!C:E,2)="","",VLOOKUP(A11,打刻計算用!C:E,2,FALSE)),""),TIMEVALUE(AN11&amp;":"&amp;AO11))</f>
        <v/>
      </c>
      <c r="O11" s="103" t="str">
        <f t="shared" si="8"/>
        <v/>
      </c>
      <c r="P11" s="32" t="str">
        <f>IF(A11="","",IF(N11&gt;O11,"！",IF(AND(O11="",WEEKDAY(A11,2)&lt;=5,NOT(B11="祝日"),C11=""),"！",IF(AND(O11&lt;&gt;"",O11&lt;TIME(9,0,0),Q11&lt;&gt;所属・拠点・確認内容!$D$6,Q11&lt;&gt;所属・拠点・確認内容!$D$7,L11&lt;&gt;"在宅"),"！",IF(AND(O11&gt;$BC$1,SUM(AH11)&gt;0,L11="",Q11&lt;&gt;所属・拠点・確認内容!$D$5,Q11&lt;&gt;所属・拠点・確認内容!$D$7),"！","")))))</f>
        <v/>
      </c>
      <c r="Q11" s="125"/>
      <c r="R11" s="113" t="str">
        <f>IF(OR(AT11="",AN11&amp;AO11&amp;AT11&amp;AU11="0000"),IFERROR(IF(VLOOKUP(A11,打刻計算用!C:E,3,FALSE)="","",VLOOKUP(A11,打刻計算用!C:E,3,FALSE)),""),TIMEVALUE(AT11&amp;":"&amp;AU11))</f>
        <v/>
      </c>
      <c r="S11" s="103" t="str">
        <f t="shared" si="46"/>
        <v/>
      </c>
      <c r="T11" s="32" t="str">
        <f>IF(AND(R11="",S11&lt;&gt;""),"！",IF(R11&lt;S11,"！",IF(AND(O11&lt;&gt;"",S11=""),"！",IF(AND(S11&lt;&gt;"",S11&gt;TIME(20,0,0),U11&lt;&gt;所属・拠点・確認内容!$E$5,U11&lt;&gt;所属・拠点・確認内容!$E$6),"！",IF(AND(S11&lt;$BC$2,AH11&gt;0,AH11&lt;&gt;"",L11="",U11&lt;&gt;所属・拠点・確認内容!$E$6),"！","")))))</f>
        <v/>
      </c>
      <c r="U11" s="34"/>
      <c r="V11" s="73" t="str">
        <f t="shared" si="47"/>
        <v/>
      </c>
      <c r="W11" s="33" t="str">
        <f t="shared" si="48"/>
        <v/>
      </c>
      <c r="X11" s="104"/>
      <c r="Y11" s="72" t="str">
        <f t="shared" si="28"/>
        <v/>
      </c>
      <c r="Z11" s="72" t="str">
        <f>IF(OR(O11="",S11=""),"",MIN(MAX(S11-IF(Q11=所属・拠点・確認内容!$D$6,TIME(9,0,0),O11)-Y11-TIME(8,0,0),0),TIME(0,0,0)))</f>
        <v/>
      </c>
      <c r="AA11" s="72" t="str">
        <f t="shared" si="29"/>
        <v/>
      </c>
      <c r="AB11" s="75" t="e">
        <f>SUM($AG$6:AG11)</f>
        <v>#VALUE!</v>
      </c>
      <c r="AC11" s="60"/>
      <c r="AD11" s="76" t="str">
        <f t="shared" si="12"/>
        <v/>
      </c>
      <c r="AE11" s="76" t="str">
        <f t="shared" si="13"/>
        <v/>
      </c>
      <c r="AF11" s="76" t="str">
        <f t="shared" si="14"/>
        <v/>
      </c>
      <c r="AG11" s="75" t="str">
        <f t="shared" si="15"/>
        <v/>
      </c>
      <c r="AH11" s="75" t="str">
        <f t="shared" si="30"/>
        <v/>
      </c>
      <c r="AI11" s="85" t="str">
        <f>IFERROR(IF(AND(VLOOKUP($A11,打刻計算用!$C:$M,9,FALSE),VLOOKUP($A11,打刻計算用!$C:$M,11,FALSE)),"♡","☠"),"")</f>
        <v/>
      </c>
      <c r="AJ11" s="13" t="str">
        <f t="shared" si="16"/>
        <v/>
      </c>
      <c r="AK11" s="13"/>
      <c r="AL11" s="13"/>
      <c r="AM11" s="14"/>
      <c r="AO11" s="14"/>
      <c r="AP11" s="13"/>
      <c r="AQ11" s="14"/>
      <c r="AS11" s="14"/>
      <c r="AU11" s="14"/>
      <c r="AW11" s="14"/>
      <c r="BA11" s="52">
        <f t="shared" si="31"/>
        <v>0</v>
      </c>
      <c r="BB11" s="50" t="str">
        <f t="shared" si="32"/>
        <v/>
      </c>
      <c r="BC11" s="50" t="str">
        <f>IF($AG11="","",IF(OR($O11&lt;=$BC$1,$Q11=所属・拠点・確認内容!$D$7),0,$O11-$BC$1)+IF(OR($S11&gt;=$BC$2,$U11=所属・拠点・確認内容!$E$6),0,$BC$2-$S11)-BB11)</f>
        <v/>
      </c>
    </row>
    <row r="12" spans="1:55" ht="15" customHeight="1">
      <c r="A12" s="59"/>
      <c r="B12" s="91"/>
      <c r="C12" s="116" t="str">
        <f t="shared" si="43"/>
        <v/>
      </c>
      <c r="D12" s="60" t="str">
        <f t="shared" si="44"/>
        <v/>
      </c>
      <c r="E12" s="61" t="str">
        <f t="shared" si="19"/>
        <v/>
      </c>
      <c r="F12" s="61" t="str">
        <f t="shared" si="20"/>
        <v/>
      </c>
      <c r="G12" s="61" t="str">
        <f t="shared" si="21"/>
        <v/>
      </c>
      <c r="H12" s="61" t="str">
        <f t="shared" si="22"/>
        <v/>
      </c>
      <c r="I12" s="61" t="str">
        <f t="shared" si="23"/>
        <v/>
      </c>
      <c r="J12" s="62"/>
      <c r="K12" s="31" t="str">
        <f t="shared" si="45"/>
        <v/>
      </c>
      <c r="L12" s="62"/>
      <c r="M12" s="117" t="str">
        <f>IF(AND(SUM(AH12)&gt;0,C12="",L12="",Q12&lt;&gt;所属・拠点・確認内容!$D$7,U12&lt;&gt;所属・拠点・確認内容!$E$6),"！","")</f>
        <v/>
      </c>
      <c r="N12" s="113" t="str">
        <f>IF(OR(AN12="",AN12&amp;AO12&amp;AT12&amp;AU12="0000"),IFERROR(IF(VLOOKUP(A12,打刻計算用!C:E,2)="","",VLOOKUP(A12,打刻計算用!C:E,2,FALSE)),""),TIMEVALUE(AN12&amp;":"&amp;AO12))</f>
        <v/>
      </c>
      <c r="O12" s="103" t="str">
        <f t="shared" si="8"/>
        <v/>
      </c>
      <c r="P12" s="32" t="str">
        <f>IF(A12="","",IF(N12&gt;O12,"！",IF(AND(O12="",WEEKDAY(A12,2)&lt;=5,NOT(B12="祝日"),C12=""),"！",IF(AND(O12&lt;&gt;"",O12&lt;TIME(9,0,0),Q12&lt;&gt;所属・拠点・確認内容!$D$6,Q12&lt;&gt;所属・拠点・確認内容!$D$7,L12&lt;&gt;"在宅"),"！",IF(AND(O12&gt;$BC$1,SUM(AH12)&gt;0,L12="",Q12&lt;&gt;所属・拠点・確認内容!$D$5,Q12&lt;&gt;所属・拠点・確認内容!$D$7),"！","")))))</f>
        <v/>
      </c>
      <c r="Q12" s="125"/>
      <c r="R12" s="113" t="str">
        <f>IF(OR(AT12="",AN12&amp;AO12&amp;AT12&amp;AU12="0000"),IFERROR(IF(VLOOKUP(A12,打刻計算用!C:E,3,FALSE)="","",VLOOKUP(A12,打刻計算用!C:E,3,FALSE)),""),TIMEVALUE(AT12&amp;":"&amp;AU12))</f>
        <v/>
      </c>
      <c r="S12" s="103" t="str">
        <f t="shared" si="46"/>
        <v/>
      </c>
      <c r="T12" s="32" t="str">
        <f>IF(AND(R12="",S12&lt;&gt;""),"！",IF(R12&lt;S12,"！",IF(AND(O12&lt;&gt;"",S12=""),"！",IF(AND(S12&lt;&gt;"",S12&gt;TIME(20,0,0),U12&lt;&gt;所属・拠点・確認内容!$E$5,U12&lt;&gt;所属・拠点・確認内容!$E$6),"！",IF(AND(S12&lt;$BC$2,AH12&gt;0,AH12&lt;&gt;"",L12="",U12&lt;&gt;所属・拠点・確認内容!$E$6),"！","")))))</f>
        <v/>
      </c>
      <c r="U12" s="34"/>
      <c r="V12" s="73" t="str">
        <f t="shared" si="47"/>
        <v/>
      </c>
      <c r="W12" s="33" t="str">
        <f t="shared" si="48"/>
        <v/>
      </c>
      <c r="X12" s="104"/>
      <c r="Y12" s="72" t="str">
        <f t="shared" si="28"/>
        <v/>
      </c>
      <c r="Z12" s="72" t="str">
        <f>IF(OR(O12="",S12=""),"",MIN(MAX(S12-IF(Q12=所属・拠点・確認内容!$D$6,TIME(9,0,0),O12)-Y12-TIME(8,0,0),0),TIME(0,0,0)))</f>
        <v/>
      </c>
      <c r="AA12" s="72" t="str">
        <f t="shared" si="29"/>
        <v/>
      </c>
      <c r="AB12" s="75" t="e">
        <f>SUM($AG$6:AG12)</f>
        <v>#VALUE!</v>
      </c>
      <c r="AC12" s="60"/>
      <c r="AD12" s="76" t="str">
        <f t="shared" si="12"/>
        <v/>
      </c>
      <c r="AE12" s="76" t="str">
        <f t="shared" si="13"/>
        <v/>
      </c>
      <c r="AF12" s="76" t="str">
        <f t="shared" si="14"/>
        <v/>
      </c>
      <c r="AG12" s="75" t="str">
        <f t="shared" si="15"/>
        <v/>
      </c>
      <c r="AH12" s="75" t="str">
        <f t="shared" si="30"/>
        <v/>
      </c>
      <c r="AI12" s="85" t="str">
        <f>IFERROR(IF(AND(VLOOKUP($A12,打刻計算用!$C:$M,9,FALSE),VLOOKUP($A12,打刻計算用!$C:$M,11,FALSE)),"♡","☠"),"")</f>
        <v/>
      </c>
      <c r="AJ12" s="13" t="str">
        <f t="shared" si="16"/>
        <v/>
      </c>
      <c r="AK12" s="13"/>
      <c r="AL12" s="13"/>
      <c r="AM12" s="14"/>
      <c r="AO12" s="14"/>
      <c r="AP12" s="13"/>
      <c r="AQ12" s="14"/>
      <c r="AS12" s="14"/>
      <c r="AU12" s="14"/>
      <c r="AW12" s="14"/>
      <c r="BA12" s="52">
        <f t="shared" si="31"/>
        <v>0</v>
      </c>
      <c r="BB12" s="50" t="str">
        <f t="shared" si="32"/>
        <v/>
      </c>
      <c r="BC12" s="50" t="str">
        <f>IF($AG12="","",IF(OR($O12&lt;=$BC$1,$Q12=所属・拠点・確認内容!$D$7),0,$O12-$BC$1)+IF(OR($S12&gt;=$BC$2,$U12=所属・拠点・確認内容!$E$6),0,$BC$2-$S12)-BB12)</f>
        <v/>
      </c>
    </row>
    <row r="13" spans="1:55" ht="15" customHeight="1">
      <c r="A13" s="59"/>
      <c r="B13" s="91"/>
      <c r="C13" s="116" t="str">
        <f t="shared" si="43"/>
        <v/>
      </c>
      <c r="D13" s="60" t="str">
        <f t="shared" si="44"/>
        <v/>
      </c>
      <c r="E13" s="61" t="str">
        <f t="shared" si="19"/>
        <v/>
      </c>
      <c r="F13" s="61" t="str">
        <f t="shared" si="20"/>
        <v/>
      </c>
      <c r="G13" s="61" t="str">
        <f t="shared" si="21"/>
        <v/>
      </c>
      <c r="H13" s="61" t="str">
        <f t="shared" si="22"/>
        <v/>
      </c>
      <c r="I13" s="61" t="str">
        <f t="shared" si="23"/>
        <v/>
      </c>
      <c r="J13" s="62"/>
      <c r="K13" s="31" t="str">
        <f t="shared" si="45"/>
        <v/>
      </c>
      <c r="L13" s="62"/>
      <c r="M13" s="117" t="str">
        <f>IF(AND(SUM(AH13)&gt;0,C13="",L13="",Q13&lt;&gt;所属・拠点・確認内容!$D$7,U13&lt;&gt;所属・拠点・確認内容!$E$6),"！","")</f>
        <v/>
      </c>
      <c r="N13" s="113" t="str">
        <f>IF(OR(AN13="",AN13&amp;AO13&amp;AT13&amp;AU13="0000"),IFERROR(IF(VLOOKUP(A13,打刻計算用!C:E,2)="","",VLOOKUP(A13,打刻計算用!C:E,2,FALSE)),""),TIMEVALUE(AN13&amp;":"&amp;AO13))</f>
        <v/>
      </c>
      <c r="O13" s="103" t="str">
        <f t="shared" si="8"/>
        <v/>
      </c>
      <c r="P13" s="32" t="str">
        <f>IF(A13="","",IF(N13&gt;O13,"！",IF(AND(O13="",WEEKDAY(A13,2)&lt;=5,NOT(B13="祝日"),C13=""),"！",IF(AND(O13&lt;&gt;"",O13&lt;TIME(9,0,0),Q13&lt;&gt;所属・拠点・確認内容!$D$6,Q13&lt;&gt;所属・拠点・確認内容!$D$7,L13&lt;&gt;"在宅"),"！",IF(AND(O13&gt;$BC$1,SUM(AH13)&gt;0,L13="",Q13&lt;&gt;所属・拠点・確認内容!$D$5,Q13&lt;&gt;所属・拠点・確認内容!$D$7),"！","")))))</f>
        <v/>
      </c>
      <c r="Q13" s="125"/>
      <c r="R13" s="113" t="str">
        <f>IF(OR(AT13="",AN13&amp;AO13&amp;AT13&amp;AU13="0000"),IFERROR(IF(VLOOKUP(A13,打刻計算用!C:E,3,FALSE)="","",VLOOKUP(A13,打刻計算用!C:E,3,FALSE)),""),TIMEVALUE(AT13&amp;":"&amp;AU13))</f>
        <v/>
      </c>
      <c r="S13" s="103" t="str">
        <f t="shared" si="46"/>
        <v/>
      </c>
      <c r="T13" s="32" t="str">
        <f>IF(AND(R13="",S13&lt;&gt;""),"！",IF(R13&lt;S13,"！",IF(AND(O13&lt;&gt;"",S13=""),"！",IF(AND(S13&lt;&gt;"",S13&gt;TIME(20,0,0),U13&lt;&gt;所属・拠点・確認内容!$E$5,U13&lt;&gt;所属・拠点・確認内容!$E$6),"！",IF(AND(S13&lt;$BC$2,AH13&gt;0,AH13&lt;&gt;"",L13="",U13&lt;&gt;所属・拠点・確認内容!$E$6),"！","")))))</f>
        <v/>
      </c>
      <c r="U13" s="34"/>
      <c r="V13" s="73" t="str">
        <f t="shared" si="47"/>
        <v/>
      </c>
      <c r="W13" s="33" t="str">
        <f t="shared" si="48"/>
        <v/>
      </c>
      <c r="X13" s="104"/>
      <c r="Y13" s="72" t="str">
        <f t="shared" si="28"/>
        <v/>
      </c>
      <c r="Z13" s="72" t="str">
        <f>IF(OR(O13="",S13=""),"",MIN(MAX(S13-IF(Q13=所属・拠点・確認内容!$D$6,TIME(9,0,0),O13)-Y13-TIME(8,0,0),0),TIME(0,0,0)))</f>
        <v/>
      </c>
      <c r="AA13" s="72" t="str">
        <f t="shared" si="29"/>
        <v/>
      </c>
      <c r="AB13" s="75" t="e">
        <f>SUM($AG$6:AG13)</f>
        <v>#VALUE!</v>
      </c>
      <c r="AC13" s="60"/>
      <c r="AD13" s="76" t="str">
        <f t="shared" si="12"/>
        <v/>
      </c>
      <c r="AE13" s="76" t="str">
        <f t="shared" si="13"/>
        <v/>
      </c>
      <c r="AF13" s="76" t="str">
        <f t="shared" si="14"/>
        <v/>
      </c>
      <c r="AG13" s="75" t="str">
        <f t="shared" si="15"/>
        <v/>
      </c>
      <c r="AH13" s="75" t="str">
        <f t="shared" si="30"/>
        <v/>
      </c>
      <c r="AI13" s="85" t="str">
        <f>IFERROR(IF(AND(VLOOKUP($A13,打刻計算用!$C:$M,9,FALSE),VLOOKUP($A13,打刻計算用!$C:$M,11,FALSE)),"♡","☠"),"")</f>
        <v/>
      </c>
      <c r="AJ13" s="13" t="str">
        <f t="shared" si="16"/>
        <v/>
      </c>
      <c r="AK13" s="13"/>
      <c r="AL13" s="13"/>
      <c r="AM13" s="14"/>
      <c r="AO13" s="14"/>
      <c r="AP13" s="13"/>
      <c r="AQ13" s="14"/>
      <c r="AS13" s="14"/>
      <c r="AU13" s="14"/>
      <c r="AW13" s="14"/>
      <c r="BA13" s="52">
        <f t="shared" si="31"/>
        <v>0</v>
      </c>
      <c r="BB13" s="50" t="str">
        <f t="shared" si="32"/>
        <v/>
      </c>
      <c r="BC13" s="50" t="str">
        <f>IF($AG13="","",IF(OR($O13&lt;=$BC$1,$Q13=所属・拠点・確認内容!$D$7),0,$O13-$BC$1)+IF(OR($S13&gt;=$BC$2,$U13=所属・拠点・確認内容!$E$6),0,$BC$2-$S13)-BB13)</f>
        <v/>
      </c>
    </row>
    <row r="14" spans="1:55" ht="15" customHeight="1">
      <c r="A14" s="59"/>
      <c r="B14" s="91"/>
      <c r="C14" s="116" t="str">
        <f t="shared" si="43"/>
        <v/>
      </c>
      <c r="D14" s="60" t="str">
        <f t="shared" si="44"/>
        <v/>
      </c>
      <c r="E14" s="61" t="str">
        <f t="shared" si="19"/>
        <v/>
      </c>
      <c r="F14" s="61" t="str">
        <f t="shared" si="20"/>
        <v/>
      </c>
      <c r="G14" s="61" t="str">
        <f t="shared" si="21"/>
        <v/>
      </c>
      <c r="H14" s="61" t="str">
        <f t="shared" si="22"/>
        <v/>
      </c>
      <c r="I14" s="61" t="str">
        <f t="shared" si="23"/>
        <v/>
      </c>
      <c r="J14" s="62"/>
      <c r="K14" s="31" t="str">
        <f t="shared" si="45"/>
        <v/>
      </c>
      <c r="L14" s="62"/>
      <c r="M14" s="117" t="str">
        <f>IF(AND(SUM(AH14)&gt;0,C14="",L14="",Q14&lt;&gt;所属・拠点・確認内容!$D$7,U14&lt;&gt;所属・拠点・確認内容!$E$6),"！","")</f>
        <v/>
      </c>
      <c r="N14" s="113" t="str">
        <f>IF(OR(AN14="",AN14&amp;AO14&amp;AT14&amp;AU14="0000"),IFERROR(IF(VLOOKUP(A14,打刻計算用!C:E,2)="","",VLOOKUP(A14,打刻計算用!C:E,2,FALSE)),""),TIMEVALUE(AN14&amp;":"&amp;AO14))</f>
        <v/>
      </c>
      <c r="O14" s="103" t="str">
        <f t="shared" si="8"/>
        <v/>
      </c>
      <c r="P14" s="32" t="str">
        <f>IF(A14="","",IF(N14&gt;O14,"！",IF(AND(O14="",WEEKDAY(A14,2)&lt;=5,NOT(B14="祝日"),C14=""),"！",IF(AND(O14&lt;&gt;"",O14&lt;TIME(9,0,0),Q14&lt;&gt;所属・拠点・確認内容!$D$6,Q14&lt;&gt;所属・拠点・確認内容!$D$7,L14&lt;&gt;"在宅"),"！",IF(AND(O14&gt;$BC$1,SUM(AH14)&gt;0,L14="",Q14&lt;&gt;所属・拠点・確認内容!$D$5,Q14&lt;&gt;所属・拠点・確認内容!$D$7),"！","")))))</f>
        <v/>
      </c>
      <c r="Q14" s="125"/>
      <c r="R14" s="113" t="str">
        <f>IF(OR(AT14="",AN14&amp;AO14&amp;AT14&amp;AU14="0000"),IFERROR(IF(VLOOKUP(A14,打刻計算用!C:E,3,FALSE)="","",VLOOKUP(A14,打刻計算用!C:E,3,FALSE)),""),TIMEVALUE(AT14&amp;":"&amp;AU14))</f>
        <v/>
      </c>
      <c r="S14" s="103" t="str">
        <f t="shared" si="46"/>
        <v/>
      </c>
      <c r="T14" s="32" t="str">
        <f>IF(AND(R14="",S14&lt;&gt;""),"！",IF(R14&lt;S14,"！",IF(AND(O14&lt;&gt;"",S14=""),"！",IF(AND(S14&lt;&gt;"",S14&gt;TIME(20,0,0),U14&lt;&gt;所属・拠点・確認内容!$E$5,U14&lt;&gt;所属・拠点・確認内容!$E$6),"！",IF(AND(S14&lt;$BC$2,AH14&gt;0,AH14&lt;&gt;"",L14="",U14&lt;&gt;所属・拠点・確認内容!$E$6),"！","")))))</f>
        <v/>
      </c>
      <c r="U14" s="34"/>
      <c r="V14" s="73" t="str">
        <f t="shared" si="47"/>
        <v/>
      </c>
      <c r="W14" s="33" t="str">
        <f t="shared" si="48"/>
        <v/>
      </c>
      <c r="X14" s="104"/>
      <c r="Y14" s="72" t="str">
        <f t="shared" si="28"/>
        <v/>
      </c>
      <c r="Z14" s="72" t="str">
        <f>IF(OR(O14="",S14=""),"",MIN(MAX(S14-IF(Q14=所属・拠点・確認内容!$D$6,TIME(9,0,0),O14)-Y14-TIME(8,0,0),0),TIME(0,0,0)))</f>
        <v/>
      </c>
      <c r="AA14" s="72" t="str">
        <f t="shared" si="29"/>
        <v/>
      </c>
      <c r="AB14" s="75" t="e">
        <f>SUM($AG$6:AG14)</f>
        <v>#VALUE!</v>
      </c>
      <c r="AC14" s="60"/>
      <c r="AD14" s="76" t="str">
        <f t="shared" si="12"/>
        <v/>
      </c>
      <c r="AE14" s="76" t="str">
        <f t="shared" si="13"/>
        <v/>
      </c>
      <c r="AF14" s="76" t="str">
        <f t="shared" si="14"/>
        <v/>
      </c>
      <c r="AG14" s="75" t="str">
        <f t="shared" si="15"/>
        <v/>
      </c>
      <c r="AH14" s="75" t="str">
        <f t="shared" si="30"/>
        <v/>
      </c>
      <c r="AI14" s="85" t="str">
        <f>IFERROR(IF(AND(VLOOKUP($A14,打刻計算用!$C:$M,9,FALSE),VLOOKUP($A14,打刻計算用!$C:$M,11,FALSE)),"♡","☠"),"")</f>
        <v/>
      </c>
      <c r="AJ14" s="13" t="str">
        <f t="shared" si="16"/>
        <v/>
      </c>
      <c r="AK14" s="13"/>
      <c r="AL14" s="13"/>
      <c r="AM14" s="14"/>
      <c r="AO14" s="14"/>
      <c r="AP14" s="13"/>
      <c r="AQ14" s="14"/>
      <c r="AS14" s="14"/>
      <c r="AU14" s="14"/>
      <c r="AW14" s="14"/>
      <c r="BA14" s="52">
        <f t="shared" si="31"/>
        <v>0</v>
      </c>
      <c r="BB14" s="50" t="str">
        <f t="shared" si="32"/>
        <v/>
      </c>
      <c r="BC14" s="50" t="str">
        <f>IF($AG14="","",IF(OR($O14&lt;=$BC$1,$Q14=所属・拠点・確認内容!$D$7),0,$O14-$BC$1)+IF(OR($S14&gt;=$BC$2,$U14=所属・拠点・確認内容!$E$6),0,$BC$2-$S14)-BB14)</f>
        <v/>
      </c>
    </row>
    <row r="15" spans="1:55" ht="15" customHeight="1">
      <c r="A15" s="59"/>
      <c r="B15" s="91"/>
      <c r="C15" s="116" t="str">
        <f t="shared" si="43"/>
        <v/>
      </c>
      <c r="D15" s="60" t="str">
        <f t="shared" si="44"/>
        <v/>
      </c>
      <c r="E15" s="61" t="str">
        <f t="shared" si="19"/>
        <v/>
      </c>
      <c r="F15" s="61" t="str">
        <f t="shared" si="20"/>
        <v/>
      </c>
      <c r="G15" s="61" t="str">
        <f t="shared" si="21"/>
        <v/>
      </c>
      <c r="H15" s="61" t="str">
        <f t="shared" si="22"/>
        <v/>
      </c>
      <c r="I15" s="61" t="str">
        <f t="shared" si="23"/>
        <v/>
      </c>
      <c r="J15" s="62"/>
      <c r="K15" s="31" t="str">
        <f t="shared" si="45"/>
        <v/>
      </c>
      <c r="L15" s="62"/>
      <c r="M15" s="117" t="str">
        <f>IF(AND(SUM(AH15)&gt;0,C15="",L15="",Q15&lt;&gt;所属・拠点・確認内容!$D$7,U15&lt;&gt;所属・拠点・確認内容!$E$6),"！","")</f>
        <v/>
      </c>
      <c r="N15" s="113" t="str">
        <f>IF(OR(AN15="",AN15&amp;AO15&amp;AT15&amp;AU15="0000"),IFERROR(IF(VLOOKUP(A15,打刻計算用!C:E,2)="","",VLOOKUP(A15,打刻計算用!C:E,2,FALSE)),""),TIMEVALUE(AN15&amp;":"&amp;AO15))</f>
        <v/>
      </c>
      <c r="O15" s="103" t="str">
        <f t="shared" si="8"/>
        <v/>
      </c>
      <c r="P15" s="32" t="str">
        <f>IF(A15="","",IF(N15&gt;O15,"！",IF(AND(O15="",WEEKDAY(A15,2)&lt;=5,NOT(B15="祝日"),C15=""),"！",IF(AND(O15&lt;&gt;"",O15&lt;TIME(9,0,0),Q15&lt;&gt;所属・拠点・確認内容!$D$6,Q15&lt;&gt;所属・拠点・確認内容!$D$7,L15&lt;&gt;"在宅"),"！",IF(AND(O15&gt;$BC$1,SUM(AH15)&gt;0,L15="",Q15&lt;&gt;所属・拠点・確認内容!$D$5,Q15&lt;&gt;所属・拠点・確認内容!$D$7),"！","")))))</f>
        <v/>
      </c>
      <c r="Q15" s="125"/>
      <c r="R15" s="113" t="str">
        <f>IF(OR(AT15="",AN15&amp;AO15&amp;AT15&amp;AU15="0000"),IFERROR(IF(VLOOKUP(A15,打刻計算用!C:E,3,FALSE)="","",VLOOKUP(A15,打刻計算用!C:E,3,FALSE)),""),TIMEVALUE(AT15&amp;":"&amp;AU15))</f>
        <v/>
      </c>
      <c r="S15" s="103" t="str">
        <f t="shared" si="46"/>
        <v/>
      </c>
      <c r="T15" s="32" t="str">
        <f>IF(AND(R15="",S15&lt;&gt;""),"！",IF(R15&lt;S15,"！",IF(AND(O15&lt;&gt;"",S15=""),"！",IF(AND(S15&lt;&gt;"",S15&gt;TIME(20,0,0),U15&lt;&gt;所属・拠点・確認内容!$E$5,U15&lt;&gt;所属・拠点・確認内容!$E$6),"！",IF(AND(S15&lt;$BC$2,AH15&gt;0,AH15&lt;&gt;"",L15="",U15&lt;&gt;所属・拠点・確認内容!$E$6),"！","")))))</f>
        <v/>
      </c>
      <c r="U15" s="34"/>
      <c r="V15" s="73" t="str">
        <f t="shared" si="47"/>
        <v/>
      </c>
      <c r="W15" s="33" t="str">
        <f t="shared" si="48"/>
        <v/>
      </c>
      <c r="X15" s="104"/>
      <c r="Y15" s="72" t="str">
        <f t="shared" si="28"/>
        <v/>
      </c>
      <c r="Z15" s="72" t="str">
        <f>IF(OR(O15="",S15=""),"",MIN(MAX(S15-IF(Q15=所属・拠点・確認内容!$D$6,TIME(9,0,0),O15)-Y15-TIME(8,0,0),0),TIME(0,0,0)))</f>
        <v/>
      </c>
      <c r="AA15" s="72" t="str">
        <f t="shared" si="29"/>
        <v/>
      </c>
      <c r="AB15" s="75" t="e">
        <f>SUM($AG$6:AG15)</f>
        <v>#VALUE!</v>
      </c>
      <c r="AC15" s="60"/>
      <c r="AD15" s="76" t="str">
        <f t="shared" si="12"/>
        <v/>
      </c>
      <c r="AE15" s="76" t="str">
        <f t="shared" si="13"/>
        <v/>
      </c>
      <c r="AF15" s="76" t="str">
        <f t="shared" si="14"/>
        <v/>
      </c>
      <c r="AG15" s="75" t="str">
        <f t="shared" si="15"/>
        <v/>
      </c>
      <c r="AH15" s="75" t="str">
        <f t="shared" si="30"/>
        <v/>
      </c>
      <c r="AI15" s="85" t="str">
        <f>IFERROR(IF(AND(VLOOKUP($A15,打刻計算用!$C:$M,9,FALSE),VLOOKUP($A15,打刻計算用!$C:$M,11,FALSE)),"♡","☠"),"")</f>
        <v/>
      </c>
      <c r="AJ15" s="13" t="str">
        <f t="shared" si="16"/>
        <v/>
      </c>
      <c r="AK15" s="13"/>
      <c r="AL15" s="13"/>
      <c r="AM15" s="14"/>
      <c r="AO15" s="14"/>
      <c r="AP15" s="13"/>
      <c r="AQ15" s="14"/>
      <c r="AS15" s="14"/>
      <c r="AU15" s="14"/>
      <c r="AW15" s="14"/>
      <c r="BA15" s="52">
        <f t="shared" si="31"/>
        <v>0</v>
      </c>
      <c r="BB15" s="50" t="str">
        <f t="shared" si="32"/>
        <v/>
      </c>
      <c r="BC15" s="50" t="str">
        <f>IF($AG15="","",IF(OR($O15&lt;=$BC$1,$Q15=所属・拠点・確認内容!$D$7),0,$O15-$BC$1)+IF(OR($S15&gt;=$BC$2,$U15=所属・拠点・確認内容!$E$6),0,$BC$2-$S15)-BB15)</f>
        <v/>
      </c>
    </row>
    <row r="16" spans="1:55" ht="15" customHeight="1">
      <c r="A16" s="59"/>
      <c r="B16" s="91"/>
      <c r="C16" s="116" t="str">
        <f t="shared" si="43"/>
        <v/>
      </c>
      <c r="D16" s="60" t="str">
        <f t="shared" si="44"/>
        <v/>
      </c>
      <c r="E16" s="61" t="str">
        <f t="shared" si="19"/>
        <v/>
      </c>
      <c r="F16" s="61" t="str">
        <f t="shared" si="20"/>
        <v/>
      </c>
      <c r="G16" s="61" t="str">
        <f t="shared" si="21"/>
        <v/>
      </c>
      <c r="H16" s="61" t="str">
        <f t="shared" si="22"/>
        <v/>
      </c>
      <c r="I16" s="61" t="str">
        <f t="shared" si="23"/>
        <v/>
      </c>
      <c r="J16" s="62"/>
      <c r="K16" s="31" t="str">
        <f t="shared" si="45"/>
        <v/>
      </c>
      <c r="L16" s="62"/>
      <c r="M16" s="117" t="str">
        <f>IF(AND(SUM(AH16)&gt;0,C16="",L16="",Q16&lt;&gt;所属・拠点・確認内容!$D$7,U16&lt;&gt;所属・拠点・確認内容!$E$6),"！","")</f>
        <v/>
      </c>
      <c r="N16" s="113" t="str">
        <f>IF(OR(AN16="",AN16&amp;AO16&amp;AT16&amp;AU16="0000"),IFERROR(IF(VLOOKUP(A16,打刻計算用!C:E,2)="","",VLOOKUP(A16,打刻計算用!C:E,2,FALSE)),""),TIMEVALUE(AN16&amp;":"&amp;AO16))</f>
        <v/>
      </c>
      <c r="O16" s="103" t="str">
        <f t="shared" si="8"/>
        <v/>
      </c>
      <c r="P16" s="32" t="str">
        <f>IF(A16="","",IF(N16&gt;O16,"！",IF(AND(O16="",WEEKDAY(A16,2)&lt;=5,NOT(B16="祝日"),C16=""),"！",IF(AND(O16&lt;&gt;"",O16&lt;TIME(9,0,0),Q16&lt;&gt;所属・拠点・確認内容!$D$6,Q16&lt;&gt;所属・拠点・確認内容!$D$7,L16&lt;&gt;"在宅"),"！",IF(AND(O16&gt;$BC$1,SUM(AH16)&gt;0,L16="",Q16&lt;&gt;所属・拠点・確認内容!$D$5,Q16&lt;&gt;所属・拠点・確認内容!$D$7),"！","")))))</f>
        <v/>
      </c>
      <c r="Q16" s="125"/>
      <c r="R16" s="113" t="str">
        <f>IF(OR(AT16="",AN16&amp;AO16&amp;AT16&amp;AU16="0000"),IFERROR(IF(VLOOKUP(A16,打刻計算用!C:E,3,FALSE)="","",VLOOKUP(A16,打刻計算用!C:E,3,FALSE)),""),TIMEVALUE(AT16&amp;":"&amp;AU16))</f>
        <v/>
      </c>
      <c r="S16" s="103" t="str">
        <f t="shared" si="46"/>
        <v/>
      </c>
      <c r="T16" s="32" t="str">
        <f>IF(AND(R16="",S16&lt;&gt;""),"！",IF(R16&lt;S16,"！",IF(AND(O16&lt;&gt;"",S16=""),"！",IF(AND(S16&lt;&gt;"",S16&gt;TIME(20,0,0),U16&lt;&gt;所属・拠点・確認内容!$E$5,U16&lt;&gt;所属・拠点・確認内容!$E$6),"！",IF(AND(S16&lt;$BC$2,AH16&gt;0,AH16&lt;&gt;"",L16="",U16&lt;&gt;所属・拠点・確認内容!$E$6),"！","")))))</f>
        <v/>
      </c>
      <c r="U16" s="34"/>
      <c r="V16" s="73" t="str">
        <f t="shared" si="47"/>
        <v/>
      </c>
      <c r="W16" s="33" t="str">
        <f t="shared" si="48"/>
        <v/>
      </c>
      <c r="X16" s="104"/>
      <c r="Y16" s="72" t="str">
        <f t="shared" si="28"/>
        <v/>
      </c>
      <c r="Z16" s="72" t="str">
        <f>IF(OR(O16="",S16=""),"",MIN(MAX(S16-IF(Q16=所属・拠点・確認内容!$D$6,TIME(9,0,0),O16)-Y16-TIME(8,0,0),0),TIME(0,0,0)))</f>
        <v/>
      </c>
      <c r="AA16" s="72" t="str">
        <f t="shared" si="29"/>
        <v/>
      </c>
      <c r="AB16" s="75" t="e">
        <f>SUM($AG$6:AG16)</f>
        <v>#VALUE!</v>
      </c>
      <c r="AC16" s="60"/>
      <c r="AD16" s="76" t="str">
        <f>IF(OR(A16="",AG16=""),"",IF(WEEKDAY(A16)=1,"",IF(S16&gt;=TIMEVALUE("22:00"),IF(S16&gt;=$AD$4,$AD$4,S16)-TIMEVALUE("22:00"),IF(O16&lt;=TIMEVALUE("5:00"),TIMEVALUE("5:00")-O16,""))))</f>
        <v/>
      </c>
      <c r="AE16" s="76" t="str">
        <f t="shared" si="13"/>
        <v/>
      </c>
      <c r="AF16" s="76" t="str">
        <f t="shared" si="14"/>
        <v/>
      </c>
      <c r="AG16" s="75" t="str">
        <f t="shared" si="15"/>
        <v/>
      </c>
      <c r="AH16" s="75" t="str">
        <f t="shared" si="30"/>
        <v/>
      </c>
      <c r="AI16" s="85" t="str">
        <f>IFERROR(IF(AND(VLOOKUP($A16,打刻計算用!$C:$M,9,FALSE),VLOOKUP($A16,打刻計算用!$C:$M,11,FALSE)),"♡","☠"),"")</f>
        <v/>
      </c>
      <c r="AJ16" s="13" t="str">
        <f t="shared" si="16"/>
        <v/>
      </c>
      <c r="AK16" s="13"/>
      <c r="AL16" s="13"/>
      <c r="AM16" s="14"/>
      <c r="AO16" s="14"/>
      <c r="AP16" s="13"/>
      <c r="AQ16" s="14"/>
      <c r="AS16" s="14"/>
      <c r="AU16" s="14"/>
      <c r="AW16" s="14"/>
      <c r="BA16" s="52">
        <f t="shared" si="31"/>
        <v>0</v>
      </c>
      <c r="BB16" s="50" t="str">
        <f t="shared" si="32"/>
        <v/>
      </c>
      <c r="BC16" s="50" t="str">
        <f>IF($AG16="","",IF(OR($O16&lt;=$BC$1,$Q16=所属・拠点・確認内容!$D$7),0,$O16-$BC$1)+IF(OR($S16&gt;=$BC$2,$U16=所属・拠点・確認内容!$E$6),0,$BC$2-$S16)-BB16)</f>
        <v/>
      </c>
    </row>
    <row r="17" spans="1:55" ht="15" customHeight="1">
      <c r="A17" s="59"/>
      <c r="B17" s="91"/>
      <c r="C17" s="116" t="str">
        <f t="shared" si="43"/>
        <v/>
      </c>
      <c r="D17" s="60" t="str">
        <f t="shared" si="44"/>
        <v/>
      </c>
      <c r="E17" s="61" t="str">
        <f t="shared" si="19"/>
        <v/>
      </c>
      <c r="F17" s="61" t="str">
        <f t="shared" si="20"/>
        <v/>
      </c>
      <c r="G17" s="61" t="str">
        <f t="shared" si="21"/>
        <v/>
      </c>
      <c r="H17" s="61" t="str">
        <f t="shared" si="22"/>
        <v/>
      </c>
      <c r="I17" s="61" t="str">
        <f t="shared" si="23"/>
        <v/>
      </c>
      <c r="J17" s="62"/>
      <c r="K17" s="31" t="str">
        <f t="shared" si="45"/>
        <v/>
      </c>
      <c r="L17" s="62"/>
      <c r="M17" s="117" t="str">
        <f>IF(AND(SUM(AH17)&gt;0,C17="",L17="",Q17&lt;&gt;所属・拠点・確認内容!$D$7,U17&lt;&gt;所属・拠点・確認内容!$E$6),"！","")</f>
        <v/>
      </c>
      <c r="N17" s="113" t="str">
        <f>IF(OR(AN17="",AN17&amp;AO17&amp;AT17&amp;AU17="0000"),IFERROR(IF(VLOOKUP(A17,打刻計算用!C:E,2)="","",VLOOKUP(A17,打刻計算用!C:E,2,FALSE)),""),TIMEVALUE(AN17&amp;":"&amp;AO17))</f>
        <v/>
      </c>
      <c r="O17" s="103" t="str">
        <f t="shared" si="8"/>
        <v/>
      </c>
      <c r="P17" s="32" t="str">
        <f>IF(A17="","",IF(N17&gt;O17,"！",IF(AND(O17="",WEEKDAY(A17,2)&lt;=5,NOT(B17="祝日"),C17=""),"！",IF(AND(O17&lt;&gt;"",O17&lt;TIME(9,0,0),Q17&lt;&gt;所属・拠点・確認内容!$D$6,Q17&lt;&gt;所属・拠点・確認内容!$D$7,L17&lt;&gt;"在宅"),"！",IF(AND(O17&gt;$BC$1,SUM(AH17)&gt;0,L17="",Q17&lt;&gt;所属・拠点・確認内容!$D$5,Q17&lt;&gt;所属・拠点・確認内容!$D$7),"！","")))))</f>
        <v/>
      </c>
      <c r="Q17" s="125"/>
      <c r="R17" s="113" t="str">
        <f>IF(OR(AT17="",AN17&amp;AO17&amp;AT17&amp;AU17="0000"),IFERROR(IF(VLOOKUP(A17,打刻計算用!C:E,3,FALSE)="","",VLOOKUP(A17,打刻計算用!C:E,3,FALSE)),""),TIMEVALUE(AT17&amp;":"&amp;AU17))</f>
        <v/>
      </c>
      <c r="S17" s="103" t="str">
        <f t="shared" si="46"/>
        <v/>
      </c>
      <c r="T17" s="32" t="str">
        <f>IF(AND(R17="",S17&lt;&gt;""),"！",IF(R17&lt;S17,"！",IF(AND(O17&lt;&gt;"",S17=""),"！",IF(AND(S17&lt;&gt;"",S17&gt;TIME(20,0,0),U17&lt;&gt;所属・拠点・確認内容!$E$5,U17&lt;&gt;所属・拠点・確認内容!$E$6),"！",IF(AND(S17&lt;$BC$2,AH17&gt;0,AH17&lt;&gt;"",L17="",U17&lt;&gt;所属・拠点・確認内容!$E$6),"！","")))))</f>
        <v/>
      </c>
      <c r="U17" s="34"/>
      <c r="V17" s="73" t="str">
        <f t="shared" si="47"/>
        <v/>
      </c>
      <c r="W17" s="33" t="str">
        <f t="shared" si="48"/>
        <v/>
      </c>
      <c r="X17" s="104"/>
      <c r="Y17" s="72" t="str">
        <f t="shared" si="28"/>
        <v/>
      </c>
      <c r="Z17" s="72" t="str">
        <f>IF(OR(O17="",S17=""),"",MIN(MAX(S17-IF(Q17=所属・拠点・確認内容!$D$6,TIME(9,0,0),O17)-Y17-TIME(8,0,0),0),TIME(0,0,0)))</f>
        <v/>
      </c>
      <c r="AA17" s="72" t="str">
        <f t="shared" si="29"/>
        <v/>
      </c>
      <c r="AB17" s="75" t="e">
        <f>SUM($AG$6:AG17)</f>
        <v>#VALUE!</v>
      </c>
      <c r="AC17" s="60"/>
      <c r="AD17" s="76" t="str">
        <f t="shared" ref="AD17:AD36" si="49">IF(OR(A17="",AG17=""),"",IF(WEEKDAY(A17)=1,"",IF(S17&gt;=TIMEVALUE("22:00"),IF(S17&gt;=$AD$4,$AD$4,S17)-TIMEVALUE("22:00"),IF(O17&lt;=TIMEVALUE("5:00"),TIMEVALUE("5:00")-O17,""))))</f>
        <v/>
      </c>
      <c r="AE17" s="76" t="str">
        <f t="shared" si="13"/>
        <v/>
      </c>
      <c r="AF17" s="76" t="str">
        <f t="shared" si="14"/>
        <v/>
      </c>
      <c r="AG17" s="75" t="str">
        <f t="shared" si="15"/>
        <v/>
      </c>
      <c r="AH17" s="75" t="str">
        <f t="shared" si="30"/>
        <v/>
      </c>
      <c r="AI17" s="85" t="str">
        <f>IFERROR(IF(AND(VLOOKUP($A17,打刻計算用!$C:$M,9,FALSE),VLOOKUP($A17,打刻計算用!$C:$M,11,FALSE)),"♡","☠"),"")</f>
        <v/>
      </c>
      <c r="AJ17" s="13" t="str">
        <f t="shared" si="16"/>
        <v/>
      </c>
      <c r="AK17" s="13"/>
      <c r="AL17" s="13"/>
      <c r="AM17" s="14"/>
      <c r="AO17" s="14"/>
      <c r="AP17" s="13"/>
      <c r="AQ17" s="14"/>
      <c r="AS17" s="14"/>
      <c r="AU17" s="14"/>
      <c r="AW17" s="14"/>
      <c r="BA17" s="52">
        <f t="shared" si="31"/>
        <v>0</v>
      </c>
      <c r="BB17" s="50" t="str">
        <f t="shared" si="32"/>
        <v/>
      </c>
      <c r="BC17" s="50" t="str">
        <f>IF($AG17="","",IF(OR($O17&lt;=$BC$1,$Q17=所属・拠点・確認内容!$D$7),0,$O17-$BC$1)+IF(OR($S17&gt;=$BC$2,$U17=所属・拠点・確認内容!$E$6),0,$BC$2-$S17)-BB17)</f>
        <v/>
      </c>
    </row>
    <row r="18" spans="1:55" ht="15" customHeight="1">
      <c r="A18" s="59"/>
      <c r="B18" s="91"/>
      <c r="C18" s="116" t="str">
        <f t="shared" si="43"/>
        <v/>
      </c>
      <c r="D18" s="60" t="str">
        <f t="shared" si="44"/>
        <v/>
      </c>
      <c r="E18" s="61" t="str">
        <f t="shared" si="19"/>
        <v/>
      </c>
      <c r="F18" s="61" t="str">
        <f t="shared" si="20"/>
        <v/>
      </c>
      <c r="G18" s="61" t="str">
        <f t="shared" si="21"/>
        <v/>
      </c>
      <c r="H18" s="61" t="str">
        <f t="shared" si="22"/>
        <v/>
      </c>
      <c r="I18" s="61" t="str">
        <f t="shared" si="23"/>
        <v/>
      </c>
      <c r="J18" s="62"/>
      <c r="K18" s="31" t="str">
        <f t="shared" si="45"/>
        <v/>
      </c>
      <c r="L18" s="62"/>
      <c r="M18" s="117" t="str">
        <f>IF(AND(SUM(AH18)&gt;0,C18="",L18="",Q18&lt;&gt;所属・拠点・確認内容!$D$7,U18&lt;&gt;所属・拠点・確認内容!$E$6),"！","")</f>
        <v/>
      </c>
      <c r="N18" s="113" t="str">
        <f>IF(OR(AN18="",AN18&amp;AO18&amp;AT18&amp;AU18="0000"),IFERROR(IF(VLOOKUP(A18,打刻計算用!C:E,2)="","",VLOOKUP(A18,打刻計算用!C:E,2,FALSE)),""),TIMEVALUE(AN18&amp;":"&amp;AO18))</f>
        <v/>
      </c>
      <c r="O18" s="103" t="str">
        <f t="shared" si="8"/>
        <v/>
      </c>
      <c r="P18" s="32" t="str">
        <f>IF(A18="","",IF(N18&gt;O18,"！",IF(AND(O18="",WEEKDAY(A18,2)&lt;=5,NOT(B18="祝日"),C18=""),"！",IF(AND(O18&lt;&gt;"",O18&lt;TIME(9,0,0),Q18&lt;&gt;所属・拠点・確認内容!$D$6,Q18&lt;&gt;所属・拠点・確認内容!$D$7,L18&lt;&gt;"在宅"),"！",IF(AND(O18&gt;$BC$1,SUM(AH18)&gt;0,L18="",Q18&lt;&gt;所属・拠点・確認内容!$D$5,Q18&lt;&gt;所属・拠点・確認内容!$D$7),"！","")))))</f>
        <v/>
      </c>
      <c r="Q18" s="125"/>
      <c r="R18" s="113" t="str">
        <f>IF(OR(AT18="",AN18&amp;AO18&amp;AT18&amp;AU18="0000"),IFERROR(IF(VLOOKUP(A18,打刻計算用!C:E,3,FALSE)="","",VLOOKUP(A18,打刻計算用!C:E,3,FALSE)),""),TIMEVALUE(AT18&amp;":"&amp;AU18))</f>
        <v/>
      </c>
      <c r="S18" s="103" t="str">
        <f t="shared" si="46"/>
        <v/>
      </c>
      <c r="T18" s="32" t="str">
        <f>IF(AND(R18="",S18&lt;&gt;""),"！",IF(R18&lt;S18,"！",IF(AND(O18&lt;&gt;"",S18=""),"！",IF(AND(S18&lt;&gt;"",S18&gt;TIME(20,0,0),U18&lt;&gt;所属・拠点・確認内容!$E$5,U18&lt;&gt;所属・拠点・確認内容!$E$6),"！",IF(AND(S18&lt;$BC$2,AH18&gt;0,AH18&lt;&gt;"",L18="",U18&lt;&gt;所属・拠点・確認内容!$E$6),"！","")))))</f>
        <v/>
      </c>
      <c r="U18" s="34"/>
      <c r="V18" s="73" t="str">
        <f t="shared" si="47"/>
        <v/>
      </c>
      <c r="W18" s="33" t="str">
        <f t="shared" si="48"/>
        <v/>
      </c>
      <c r="X18" s="104"/>
      <c r="Y18" s="72" t="str">
        <f t="shared" si="28"/>
        <v/>
      </c>
      <c r="Z18" s="72" t="str">
        <f>IF(OR(O18="",S18=""),"",MIN(MAX(S18-IF(Q18=所属・拠点・確認内容!$D$6,TIME(9,0,0),O18)-Y18-TIME(8,0,0),0),TIME(0,0,0)))</f>
        <v/>
      </c>
      <c r="AA18" s="72" t="str">
        <f t="shared" si="29"/>
        <v/>
      </c>
      <c r="AB18" s="75" t="e">
        <f>SUM($AG$6:AG18)</f>
        <v>#VALUE!</v>
      </c>
      <c r="AC18" s="60"/>
      <c r="AD18" s="76" t="str">
        <f t="shared" si="49"/>
        <v/>
      </c>
      <c r="AE18" s="76" t="str">
        <f t="shared" si="13"/>
        <v/>
      </c>
      <c r="AF18" s="76" t="str">
        <f t="shared" si="14"/>
        <v/>
      </c>
      <c r="AG18" s="75" t="str">
        <f t="shared" si="15"/>
        <v/>
      </c>
      <c r="AH18" s="75" t="str">
        <f t="shared" si="30"/>
        <v/>
      </c>
      <c r="AI18" s="85" t="str">
        <f>IFERROR(IF(AND(VLOOKUP($A18,打刻計算用!$C:$M,9,FALSE),VLOOKUP($A18,打刻計算用!$C:$M,11,FALSE)),"♡","☠"),"")</f>
        <v/>
      </c>
      <c r="AJ18" s="13" t="str">
        <f t="shared" si="16"/>
        <v/>
      </c>
      <c r="AK18" s="13"/>
      <c r="AL18" s="13"/>
      <c r="AM18" s="14"/>
      <c r="AO18" s="14"/>
      <c r="AP18" s="13"/>
      <c r="AQ18" s="14"/>
      <c r="AS18" s="14"/>
      <c r="AU18" s="14"/>
      <c r="AW18" s="14"/>
      <c r="BA18" s="52">
        <f t="shared" si="31"/>
        <v>0</v>
      </c>
      <c r="BB18" s="50" t="str">
        <f t="shared" si="32"/>
        <v/>
      </c>
      <c r="BC18" s="50" t="str">
        <f>IF($AG18="","",IF(OR($O18&lt;=$BC$1,$Q18=所属・拠点・確認内容!$D$7),0,$O18-$BC$1)+IF(OR($S18&gt;=$BC$2,$U18=所属・拠点・確認内容!$E$6),0,$BC$2-$S18)-BB18)</f>
        <v/>
      </c>
    </row>
    <row r="19" spans="1:55" ht="15" customHeight="1">
      <c r="A19" s="59"/>
      <c r="B19" s="91"/>
      <c r="C19" s="116" t="str">
        <f t="shared" si="43"/>
        <v/>
      </c>
      <c r="D19" s="60" t="str">
        <f t="shared" si="44"/>
        <v/>
      </c>
      <c r="E19" s="61" t="str">
        <f t="shared" si="19"/>
        <v/>
      </c>
      <c r="F19" s="61" t="str">
        <f t="shared" si="20"/>
        <v/>
      </c>
      <c r="G19" s="61" t="str">
        <f t="shared" si="21"/>
        <v/>
      </c>
      <c r="H19" s="61" t="str">
        <f t="shared" si="22"/>
        <v/>
      </c>
      <c r="I19" s="61" t="str">
        <f t="shared" si="23"/>
        <v/>
      </c>
      <c r="J19" s="62"/>
      <c r="K19" s="31" t="str">
        <f t="shared" si="45"/>
        <v/>
      </c>
      <c r="L19" s="62"/>
      <c r="M19" s="117" t="str">
        <f>IF(AND(SUM(AH19)&gt;0,C19="",L19="",Q19&lt;&gt;所属・拠点・確認内容!$D$7,U19&lt;&gt;所属・拠点・確認内容!$E$6),"！","")</f>
        <v/>
      </c>
      <c r="N19" s="113" t="str">
        <f>IF(OR(AN19="",AN19&amp;AO19&amp;AT19&amp;AU19="0000"),IFERROR(IF(VLOOKUP(A19,打刻計算用!C:E,2)="","",VLOOKUP(A19,打刻計算用!C:E,2,FALSE)),""),TIMEVALUE(AN19&amp;":"&amp;AO19))</f>
        <v/>
      </c>
      <c r="O19" s="103" t="str">
        <f t="shared" si="8"/>
        <v/>
      </c>
      <c r="P19" s="32" t="str">
        <f>IF(A19="","",IF(N19&gt;O19,"！",IF(AND(O19="",WEEKDAY(A19,2)&lt;=5,NOT(B19="祝日"),C19=""),"！",IF(AND(O19&lt;&gt;"",O19&lt;TIME(9,0,0),Q19&lt;&gt;所属・拠点・確認内容!$D$6,Q19&lt;&gt;所属・拠点・確認内容!$D$7,L19&lt;&gt;"在宅"),"！",IF(AND(O19&gt;$BC$1,SUM(AH19)&gt;0,L19="",Q19&lt;&gt;所属・拠点・確認内容!$D$5,Q19&lt;&gt;所属・拠点・確認内容!$D$7),"！","")))))</f>
        <v/>
      </c>
      <c r="Q19" s="125"/>
      <c r="R19" s="113" t="str">
        <f>IF(OR(AT19="",AN19&amp;AO19&amp;AT19&amp;AU19="0000"),IFERROR(IF(VLOOKUP(A19,打刻計算用!C:E,3,FALSE)="","",VLOOKUP(A19,打刻計算用!C:E,3,FALSE)),""),TIMEVALUE(AT19&amp;":"&amp;AU19))</f>
        <v/>
      </c>
      <c r="S19" s="103" t="str">
        <f t="shared" si="46"/>
        <v/>
      </c>
      <c r="T19" s="32" t="str">
        <f>IF(AND(R19="",S19&lt;&gt;""),"！",IF(R19&lt;S19,"！",IF(AND(O19&lt;&gt;"",S19=""),"！",IF(AND(S19&lt;&gt;"",S19&gt;TIME(20,0,0),U19&lt;&gt;所属・拠点・確認内容!$E$5,U19&lt;&gt;所属・拠点・確認内容!$E$6),"！",IF(AND(S19&lt;$BC$2,AH19&gt;0,AH19&lt;&gt;"",L19="",U19&lt;&gt;所属・拠点・確認内容!$E$6),"！","")))))</f>
        <v/>
      </c>
      <c r="U19" s="34"/>
      <c r="V19" s="73" t="str">
        <f t="shared" si="47"/>
        <v/>
      </c>
      <c r="W19" s="33" t="str">
        <f t="shared" si="48"/>
        <v/>
      </c>
      <c r="X19" s="104"/>
      <c r="Y19" s="72" t="str">
        <f t="shared" si="28"/>
        <v/>
      </c>
      <c r="Z19" s="72" t="str">
        <f>IF(OR(O19="",S19=""),"",MIN(MAX(S19-IF(Q19=所属・拠点・確認内容!$D$6,TIME(9,0,0),O19)-Y19-TIME(8,0,0),0),TIME(0,0,0)))</f>
        <v/>
      </c>
      <c r="AA19" s="72" t="str">
        <f t="shared" si="29"/>
        <v/>
      </c>
      <c r="AB19" s="75" t="e">
        <f>SUM($AG$6:AG19)</f>
        <v>#VALUE!</v>
      </c>
      <c r="AC19" s="60"/>
      <c r="AD19" s="76" t="str">
        <f t="shared" si="49"/>
        <v/>
      </c>
      <c r="AE19" s="76" t="str">
        <f t="shared" si="13"/>
        <v/>
      </c>
      <c r="AF19" s="76" t="str">
        <f t="shared" si="14"/>
        <v/>
      </c>
      <c r="AG19" s="75" t="str">
        <f t="shared" si="15"/>
        <v/>
      </c>
      <c r="AH19" s="75" t="str">
        <f t="shared" si="30"/>
        <v/>
      </c>
      <c r="AI19" s="85" t="str">
        <f>IFERROR(IF(AND(VLOOKUP($A19,打刻計算用!$C:$M,9,FALSE),VLOOKUP($A19,打刻計算用!$C:$M,11,FALSE)),"♡","☠"),"")</f>
        <v/>
      </c>
      <c r="AJ19" s="13" t="str">
        <f t="shared" si="16"/>
        <v/>
      </c>
      <c r="AK19" s="13"/>
      <c r="AL19" s="13"/>
      <c r="AM19" s="14"/>
      <c r="AO19" s="14"/>
      <c r="AP19" s="13"/>
      <c r="AQ19" s="14"/>
      <c r="AS19" s="14"/>
      <c r="AU19" s="14"/>
      <c r="AW19" s="14"/>
      <c r="BA19" s="52">
        <f t="shared" si="31"/>
        <v>0</v>
      </c>
      <c r="BB19" s="50" t="str">
        <f t="shared" si="32"/>
        <v/>
      </c>
      <c r="BC19" s="50" t="str">
        <f>IF($AG19="","",IF(OR($O19&lt;=$BC$1,$Q19=所属・拠点・確認内容!$D$7),0,$O19-$BC$1)+IF(OR($S19&gt;=$BC$2,$U19=所属・拠点・確認内容!$E$6),0,$BC$2-$S19)-BB19)</f>
        <v/>
      </c>
    </row>
    <row r="20" spans="1:55" ht="15" customHeight="1">
      <c r="A20" s="59"/>
      <c r="B20" s="91"/>
      <c r="C20" s="116" t="str">
        <f t="shared" si="43"/>
        <v/>
      </c>
      <c r="D20" s="60" t="str">
        <f t="shared" si="44"/>
        <v/>
      </c>
      <c r="E20" s="61" t="str">
        <f t="shared" si="19"/>
        <v/>
      </c>
      <c r="F20" s="61" t="str">
        <f t="shared" si="20"/>
        <v/>
      </c>
      <c r="G20" s="61" t="str">
        <f t="shared" si="21"/>
        <v/>
      </c>
      <c r="H20" s="61" t="str">
        <f t="shared" si="22"/>
        <v/>
      </c>
      <c r="I20" s="61" t="str">
        <f t="shared" si="23"/>
        <v/>
      </c>
      <c r="J20" s="62"/>
      <c r="K20" s="31" t="str">
        <f t="shared" si="45"/>
        <v/>
      </c>
      <c r="L20" s="62"/>
      <c r="M20" s="117" t="str">
        <f>IF(AND(SUM(AH20)&gt;0,C20="",L20="",Q20&lt;&gt;所属・拠点・確認内容!$D$7,U20&lt;&gt;所属・拠点・確認内容!$E$6),"！","")</f>
        <v/>
      </c>
      <c r="N20" s="113" t="str">
        <f>IF(OR(AN20="",AN20&amp;AO20&amp;AT20&amp;AU20="0000"),IFERROR(IF(VLOOKUP(A20,打刻計算用!C:E,2)="","",VLOOKUP(A20,打刻計算用!C:E,2,FALSE)),""),TIMEVALUE(AN20&amp;":"&amp;AO20))</f>
        <v/>
      </c>
      <c r="O20" s="103" t="str">
        <f t="shared" si="8"/>
        <v/>
      </c>
      <c r="P20" s="32" t="str">
        <f>IF(A20="","",IF(N20&gt;O20,"！",IF(AND(O20="",WEEKDAY(A20,2)&lt;=5,NOT(B20="祝日"),C20=""),"！",IF(AND(O20&lt;&gt;"",O20&lt;TIME(9,0,0),Q20&lt;&gt;所属・拠点・確認内容!$D$6,Q20&lt;&gt;所属・拠点・確認内容!$D$7,L20&lt;&gt;"在宅"),"！",IF(AND(O20&gt;$BC$1,SUM(AH20)&gt;0,L20="",Q20&lt;&gt;所属・拠点・確認内容!$D$5,Q20&lt;&gt;所属・拠点・確認内容!$D$7),"！","")))))</f>
        <v/>
      </c>
      <c r="Q20" s="125"/>
      <c r="R20" s="113" t="str">
        <f>IF(OR(AT20="",AN20&amp;AO20&amp;AT20&amp;AU20="0000"),IFERROR(IF(VLOOKUP(A20,打刻計算用!C:E,3,FALSE)="","",VLOOKUP(A20,打刻計算用!C:E,3,FALSE)),""),TIMEVALUE(AT20&amp;":"&amp;AU20))</f>
        <v/>
      </c>
      <c r="S20" s="103" t="str">
        <f t="shared" si="46"/>
        <v/>
      </c>
      <c r="T20" s="32" t="str">
        <f>IF(AND(R20="",S20&lt;&gt;""),"！",IF(R20&lt;S20,"！",IF(AND(O20&lt;&gt;"",S20=""),"！",IF(AND(S20&lt;&gt;"",S20&gt;TIME(20,0,0),U20&lt;&gt;所属・拠点・確認内容!$E$5,U20&lt;&gt;所属・拠点・確認内容!$E$6),"！",IF(AND(S20&lt;$BC$2,AH20&gt;0,AH20&lt;&gt;"",L20="",U20&lt;&gt;所属・拠点・確認内容!$E$6),"！","")))))</f>
        <v/>
      </c>
      <c r="U20" s="34"/>
      <c r="V20" s="73" t="str">
        <f t="shared" si="47"/>
        <v/>
      </c>
      <c r="W20" s="33" t="str">
        <f t="shared" si="48"/>
        <v/>
      </c>
      <c r="X20" s="104"/>
      <c r="Y20" s="72" t="str">
        <f t="shared" si="28"/>
        <v/>
      </c>
      <c r="Z20" s="72" t="str">
        <f>IF(OR(O20="",S20=""),"",MIN(MAX(S20-IF(Q20=所属・拠点・確認内容!$D$6,TIME(9,0,0),O20)-Y20-TIME(8,0,0),0),TIME(0,0,0)))</f>
        <v/>
      </c>
      <c r="AA20" s="72" t="str">
        <f t="shared" si="29"/>
        <v/>
      </c>
      <c r="AB20" s="75" t="e">
        <f>SUM($AG$6:AG20)</f>
        <v>#VALUE!</v>
      </c>
      <c r="AC20" s="60"/>
      <c r="AD20" s="76" t="str">
        <f t="shared" si="49"/>
        <v/>
      </c>
      <c r="AE20" s="76" t="str">
        <f t="shared" si="13"/>
        <v/>
      </c>
      <c r="AF20" s="76" t="str">
        <f t="shared" si="14"/>
        <v/>
      </c>
      <c r="AG20" s="75" t="str">
        <f t="shared" si="15"/>
        <v/>
      </c>
      <c r="AH20" s="75" t="str">
        <f t="shared" si="30"/>
        <v/>
      </c>
      <c r="AI20" s="85" t="str">
        <f>IFERROR(IF(AND(VLOOKUP($A20,打刻計算用!$C:$M,9,FALSE),VLOOKUP($A20,打刻計算用!$C:$M,11,FALSE)),"♡","☠"),"")</f>
        <v/>
      </c>
      <c r="AJ20" s="13" t="str">
        <f t="shared" si="16"/>
        <v/>
      </c>
      <c r="AK20" s="13"/>
      <c r="AL20" s="13"/>
      <c r="AM20" s="14"/>
      <c r="AO20" s="14"/>
      <c r="AP20" s="13"/>
      <c r="AQ20" s="14"/>
      <c r="AS20" s="14"/>
      <c r="AU20" s="14"/>
      <c r="AW20" s="14"/>
      <c r="BA20" s="52">
        <f t="shared" si="31"/>
        <v>0</v>
      </c>
      <c r="BB20" s="50" t="str">
        <f t="shared" si="32"/>
        <v/>
      </c>
      <c r="BC20" s="50" t="str">
        <f>IF($AG20="","",IF(OR($O20&lt;=$BC$1,$Q20=所属・拠点・確認内容!$D$7),0,$O20-$BC$1)+IF(OR($S20&gt;=$BC$2,$U20=所属・拠点・確認内容!$E$6),0,$BC$2-$S20)-BB20)</f>
        <v/>
      </c>
    </row>
    <row r="21" spans="1:55" ht="15" customHeight="1">
      <c r="A21" s="59"/>
      <c r="B21" s="91"/>
      <c r="C21" s="116" t="str">
        <f t="shared" si="43"/>
        <v/>
      </c>
      <c r="D21" s="60" t="str">
        <f t="shared" si="44"/>
        <v/>
      </c>
      <c r="E21" s="61" t="str">
        <f t="shared" si="19"/>
        <v/>
      </c>
      <c r="F21" s="61" t="str">
        <f t="shared" si="20"/>
        <v/>
      </c>
      <c r="G21" s="61" t="str">
        <f t="shared" si="21"/>
        <v/>
      </c>
      <c r="H21" s="61" t="str">
        <f t="shared" si="22"/>
        <v/>
      </c>
      <c r="I21" s="61" t="str">
        <f t="shared" si="23"/>
        <v/>
      </c>
      <c r="J21" s="62"/>
      <c r="K21" s="31" t="str">
        <f t="shared" si="45"/>
        <v/>
      </c>
      <c r="L21" s="62"/>
      <c r="M21" s="117" t="str">
        <f>IF(AND(SUM(AH21)&gt;0,C21="",L21="",Q21&lt;&gt;所属・拠点・確認内容!$D$7,U21&lt;&gt;所属・拠点・確認内容!$E$6),"！","")</f>
        <v/>
      </c>
      <c r="N21" s="113" t="str">
        <f>IF(OR(AN21="",AN21&amp;AO21&amp;AT21&amp;AU21="0000"),IFERROR(IF(VLOOKUP(A21,打刻計算用!C:E,2)="","",VLOOKUP(A21,打刻計算用!C:E,2,FALSE)),""),TIMEVALUE(AN21&amp;":"&amp;AO21))</f>
        <v/>
      </c>
      <c r="O21" s="103" t="str">
        <f t="shared" si="8"/>
        <v/>
      </c>
      <c r="P21" s="32" t="str">
        <f>IF(A21="","",IF(N21&gt;O21,"！",IF(AND(O21="",WEEKDAY(A21,2)&lt;=5,NOT(B21="祝日"),C21=""),"！",IF(AND(O21&lt;&gt;"",O21&lt;TIME(9,0,0),Q21&lt;&gt;所属・拠点・確認内容!$D$6,Q21&lt;&gt;所属・拠点・確認内容!$D$7,L21&lt;&gt;"在宅"),"！",IF(AND(O21&gt;$BC$1,SUM(AH21)&gt;0,L21="",Q21&lt;&gt;所属・拠点・確認内容!$D$5,Q21&lt;&gt;所属・拠点・確認内容!$D$7),"！","")))))</f>
        <v/>
      </c>
      <c r="Q21" s="125"/>
      <c r="R21" s="113" t="str">
        <f>IF(OR(AT21="",AN21&amp;AO21&amp;AT21&amp;AU21="0000"),IFERROR(IF(VLOOKUP(A21,打刻計算用!C:E,3,FALSE)="","",VLOOKUP(A21,打刻計算用!C:E,3,FALSE)),""),TIMEVALUE(AT21&amp;":"&amp;AU21))</f>
        <v/>
      </c>
      <c r="S21" s="103" t="str">
        <f t="shared" si="46"/>
        <v/>
      </c>
      <c r="T21" s="32" t="str">
        <f>IF(AND(R21="",S21&lt;&gt;""),"！",IF(R21&lt;S21,"！",IF(AND(O21&lt;&gt;"",S21=""),"！",IF(AND(S21&lt;&gt;"",S21&gt;TIME(20,0,0),U21&lt;&gt;所属・拠点・確認内容!$E$5,U21&lt;&gt;所属・拠点・確認内容!$E$6),"！",IF(AND(S21&lt;$BC$2,AH21&gt;0,AH21&lt;&gt;"",L21="",U21&lt;&gt;所属・拠点・確認内容!$E$6),"！","")))))</f>
        <v/>
      </c>
      <c r="U21" s="34"/>
      <c r="V21" s="73" t="str">
        <f t="shared" si="47"/>
        <v/>
      </c>
      <c r="W21" s="33" t="str">
        <f t="shared" si="48"/>
        <v/>
      </c>
      <c r="X21" s="104"/>
      <c r="Y21" s="72" t="str">
        <f t="shared" si="28"/>
        <v/>
      </c>
      <c r="Z21" s="72" t="str">
        <f>IF(OR(O21="",S21=""),"",MIN(MAX(S21-IF(Q21=所属・拠点・確認内容!$D$6,TIME(9,0,0),O21)-Y21-TIME(8,0,0),0),TIME(0,0,0)))</f>
        <v/>
      </c>
      <c r="AA21" s="72" t="str">
        <f t="shared" si="29"/>
        <v/>
      </c>
      <c r="AB21" s="75" t="e">
        <f>SUM($AG$6:AG21)</f>
        <v>#VALUE!</v>
      </c>
      <c r="AC21" s="60"/>
      <c r="AD21" s="76" t="str">
        <f t="shared" si="49"/>
        <v/>
      </c>
      <c r="AE21" s="76" t="str">
        <f t="shared" si="13"/>
        <v/>
      </c>
      <c r="AF21" s="76" t="str">
        <f t="shared" si="14"/>
        <v/>
      </c>
      <c r="AG21" s="75" t="str">
        <f t="shared" si="15"/>
        <v/>
      </c>
      <c r="AH21" s="75" t="str">
        <f t="shared" si="30"/>
        <v/>
      </c>
      <c r="AI21" s="85" t="str">
        <f>IFERROR(IF(AND(VLOOKUP($A21,打刻計算用!$C:$M,9,FALSE),VLOOKUP($A21,打刻計算用!$C:$M,11,FALSE)),"♡","☠"),"")</f>
        <v/>
      </c>
      <c r="AJ21" s="13" t="str">
        <f t="shared" si="16"/>
        <v/>
      </c>
      <c r="AK21" s="13"/>
      <c r="AL21" s="13"/>
      <c r="AM21" s="14"/>
      <c r="AO21" s="14"/>
      <c r="AP21" s="13"/>
      <c r="AQ21" s="14"/>
      <c r="AS21" s="14"/>
      <c r="AU21" s="14"/>
      <c r="AW21" s="14"/>
      <c r="BA21" s="52">
        <f t="shared" si="31"/>
        <v>0</v>
      </c>
      <c r="BB21" s="50" t="str">
        <f t="shared" si="32"/>
        <v/>
      </c>
      <c r="BC21" s="50" t="str">
        <f>IF($AG21="","",IF(OR($O21&lt;=$BC$1,$Q21=所属・拠点・確認内容!$D$7),0,$O21-$BC$1)+IF(OR($S21&gt;=$BC$2,$U21=所属・拠点・確認内容!$E$6),0,$BC$2-$S21)-BB21)</f>
        <v/>
      </c>
    </row>
    <row r="22" spans="1:55" ht="15" customHeight="1">
      <c r="A22" s="59"/>
      <c r="B22" s="91"/>
      <c r="C22" s="116" t="str">
        <f t="shared" si="43"/>
        <v/>
      </c>
      <c r="D22" s="60" t="str">
        <f t="shared" si="44"/>
        <v/>
      </c>
      <c r="E22" s="61" t="str">
        <f t="shared" si="19"/>
        <v/>
      </c>
      <c r="F22" s="61" t="str">
        <f t="shared" si="20"/>
        <v/>
      </c>
      <c r="G22" s="61" t="str">
        <f t="shared" si="21"/>
        <v/>
      </c>
      <c r="H22" s="61" t="str">
        <f t="shared" si="22"/>
        <v/>
      </c>
      <c r="I22" s="61" t="str">
        <f t="shared" si="23"/>
        <v/>
      </c>
      <c r="J22" s="62"/>
      <c r="K22" s="31" t="str">
        <f t="shared" si="45"/>
        <v/>
      </c>
      <c r="L22" s="62"/>
      <c r="M22" s="117" t="str">
        <f>IF(AND(SUM(AH22)&gt;0,C22="",L22="",Q22&lt;&gt;所属・拠点・確認内容!$D$7,U22&lt;&gt;所属・拠点・確認内容!$E$6),"！","")</f>
        <v/>
      </c>
      <c r="N22" s="113" t="str">
        <f>IF(OR(AN22="",AN22&amp;AO22&amp;AT22&amp;AU22="0000"),IFERROR(IF(VLOOKUP(A22,打刻計算用!C:E,2)="","",VLOOKUP(A22,打刻計算用!C:E,2,FALSE)),""),TIMEVALUE(AN22&amp;":"&amp;AO22))</f>
        <v/>
      </c>
      <c r="O22" s="103" t="str">
        <f t="shared" si="8"/>
        <v/>
      </c>
      <c r="P22" s="32" t="str">
        <f>IF(A22="","",IF(N22&gt;O22,"！",IF(AND(O22="",WEEKDAY(A22,2)&lt;=5,NOT(B22="祝日"),C22=""),"！",IF(AND(O22&lt;&gt;"",O22&lt;TIME(9,0,0),Q22&lt;&gt;所属・拠点・確認内容!$D$6,Q22&lt;&gt;所属・拠点・確認内容!$D$7,L22&lt;&gt;"在宅"),"！",IF(AND(O22&gt;$BC$1,SUM(AH22)&gt;0,L22="",Q22&lt;&gt;所属・拠点・確認内容!$D$5,Q22&lt;&gt;所属・拠点・確認内容!$D$7),"！","")))))</f>
        <v/>
      </c>
      <c r="Q22" s="125"/>
      <c r="R22" s="113" t="str">
        <f>IF(OR(AT22="",AN22&amp;AO22&amp;AT22&amp;AU22="0000"),IFERROR(IF(VLOOKUP(A22,打刻計算用!C:E,3,FALSE)="","",VLOOKUP(A22,打刻計算用!C:E,3,FALSE)),""),TIMEVALUE(AT22&amp;":"&amp;AU22))</f>
        <v/>
      </c>
      <c r="S22" s="103" t="str">
        <f t="shared" si="46"/>
        <v/>
      </c>
      <c r="T22" s="32" t="str">
        <f>IF(AND(R22="",S22&lt;&gt;""),"！",IF(R22&lt;S22,"！",IF(AND(O22&lt;&gt;"",S22=""),"！",IF(AND(S22&lt;&gt;"",S22&gt;TIME(20,0,0),U22&lt;&gt;所属・拠点・確認内容!$E$5,U22&lt;&gt;所属・拠点・確認内容!$E$6),"！",IF(AND(S22&lt;$BC$2,AH22&gt;0,AH22&lt;&gt;"",L22="",U22&lt;&gt;所属・拠点・確認内容!$E$6),"！","")))))</f>
        <v/>
      </c>
      <c r="U22" s="34"/>
      <c r="V22" s="73" t="str">
        <f t="shared" si="47"/>
        <v/>
      </c>
      <c r="W22" s="33" t="str">
        <f t="shared" si="48"/>
        <v/>
      </c>
      <c r="X22" s="104"/>
      <c r="Y22" s="72" t="str">
        <f t="shared" si="28"/>
        <v/>
      </c>
      <c r="Z22" s="72" t="str">
        <f>IF(OR(O22="",S22=""),"",MIN(MAX(S22-IF(Q22=所属・拠点・確認内容!$D$6,TIME(9,0,0),O22)-Y22-TIME(8,0,0),0),TIME(0,0,0)))</f>
        <v/>
      </c>
      <c r="AA22" s="72" t="str">
        <f t="shared" si="29"/>
        <v/>
      </c>
      <c r="AB22" s="75" t="e">
        <f>SUM($AG$6:AG22)</f>
        <v>#VALUE!</v>
      </c>
      <c r="AC22" s="60"/>
      <c r="AD22" s="76" t="str">
        <f t="shared" si="49"/>
        <v/>
      </c>
      <c r="AE22" s="76" t="str">
        <f t="shared" si="13"/>
        <v/>
      </c>
      <c r="AF22" s="76" t="str">
        <f t="shared" si="14"/>
        <v/>
      </c>
      <c r="AG22" s="75" t="str">
        <f t="shared" si="15"/>
        <v/>
      </c>
      <c r="AH22" s="75" t="str">
        <f t="shared" si="30"/>
        <v/>
      </c>
      <c r="AI22" s="85" t="str">
        <f>IFERROR(IF(AND(VLOOKUP($A22,打刻計算用!$C:$M,9,FALSE),VLOOKUP($A22,打刻計算用!$C:$M,11,FALSE)),"♡","☠"),"")</f>
        <v/>
      </c>
      <c r="AJ22" s="13" t="str">
        <f t="shared" si="16"/>
        <v/>
      </c>
      <c r="AK22" s="13"/>
      <c r="AL22" s="13"/>
      <c r="AM22" s="14"/>
      <c r="AO22" s="14"/>
      <c r="AP22" s="13"/>
      <c r="AQ22" s="14"/>
      <c r="AS22" s="14"/>
      <c r="AU22" s="14"/>
      <c r="AW22" s="14"/>
      <c r="BA22" s="52">
        <f t="shared" si="31"/>
        <v>0</v>
      </c>
      <c r="BB22" s="50" t="str">
        <f t="shared" si="32"/>
        <v/>
      </c>
      <c r="BC22" s="50" t="str">
        <f>IF($AG22="","",IF(OR($O22&lt;=$BC$1,$Q22=所属・拠点・確認内容!$D$7),0,$O22-$BC$1)+IF(OR($S22&gt;=$BC$2,$U22=所属・拠点・確認内容!$E$6),0,$BC$2-$S22)-BB22)</f>
        <v/>
      </c>
    </row>
    <row r="23" spans="1:55" ht="15" customHeight="1">
      <c r="A23" s="59"/>
      <c r="B23" s="91"/>
      <c r="C23" s="116" t="str">
        <f t="shared" si="43"/>
        <v/>
      </c>
      <c r="D23" s="60" t="str">
        <f t="shared" si="44"/>
        <v/>
      </c>
      <c r="E23" s="61" t="str">
        <f t="shared" si="19"/>
        <v/>
      </c>
      <c r="F23" s="61" t="str">
        <f t="shared" si="20"/>
        <v/>
      </c>
      <c r="G23" s="61" t="str">
        <f t="shared" si="21"/>
        <v/>
      </c>
      <c r="H23" s="61" t="str">
        <f t="shared" si="22"/>
        <v/>
      </c>
      <c r="I23" s="61" t="str">
        <f t="shared" si="23"/>
        <v/>
      </c>
      <c r="J23" s="62"/>
      <c r="K23" s="31" t="str">
        <f t="shared" si="45"/>
        <v/>
      </c>
      <c r="L23" s="62"/>
      <c r="M23" s="117" t="str">
        <f>IF(AND(SUM(AH23)&gt;0,C23="",L23="",Q23&lt;&gt;所属・拠点・確認内容!$D$7,U23&lt;&gt;所属・拠点・確認内容!$E$6),"！","")</f>
        <v/>
      </c>
      <c r="N23" s="113" t="str">
        <f>IF(OR(AN23="",AN23&amp;AO23&amp;AT23&amp;AU23="0000"),IFERROR(IF(VLOOKUP(A23,打刻計算用!C:E,2)="","",VLOOKUP(A23,打刻計算用!C:E,2,FALSE)),""),TIMEVALUE(AN23&amp;":"&amp;AO23))</f>
        <v/>
      </c>
      <c r="O23" s="103" t="str">
        <f t="shared" si="8"/>
        <v/>
      </c>
      <c r="P23" s="32" t="str">
        <f>IF(A23="","",IF(N23&gt;O23,"！",IF(AND(O23="",WEEKDAY(A23,2)&lt;=5,NOT(B23="祝日"),C23=""),"！",IF(AND(O23&lt;&gt;"",O23&lt;TIME(9,0,0),Q23&lt;&gt;所属・拠点・確認内容!$D$6,Q23&lt;&gt;所属・拠点・確認内容!$D$7,L23&lt;&gt;"在宅"),"！",IF(AND(O23&gt;$BC$1,SUM(AH23)&gt;0,L23="",Q23&lt;&gt;所属・拠点・確認内容!$D$5,Q23&lt;&gt;所属・拠点・確認内容!$D$7),"！","")))))</f>
        <v/>
      </c>
      <c r="Q23" s="125"/>
      <c r="R23" s="113" t="str">
        <f>IF(OR(AT23="",AN23&amp;AO23&amp;AT23&amp;AU23="0000"),IFERROR(IF(VLOOKUP(A23,打刻計算用!C:E,3,FALSE)="","",VLOOKUP(A23,打刻計算用!C:E,3,FALSE)),""),TIMEVALUE(AT23&amp;":"&amp;AU23))</f>
        <v/>
      </c>
      <c r="S23" s="103" t="str">
        <f t="shared" si="46"/>
        <v/>
      </c>
      <c r="T23" s="32" t="str">
        <f>IF(AND(R23="",S23&lt;&gt;""),"！",IF(R23&lt;S23,"！",IF(AND(O23&lt;&gt;"",S23=""),"！",IF(AND(S23&lt;&gt;"",S23&gt;TIME(20,0,0),U23&lt;&gt;所属・拠点・確認内容!$E$5,U23&lt;&gt;所属・拠点・確認内容!$E$6),"！",IF(AND(S23&lt;$BC$2,AH23&gt;0,AH23&lt;&gt;"",L23="",U23&lt;&gt;所属・拠点・確認内容!$E$6),"！","")))))</f>
        <v/>
      </c>
      <c r="U23" s="34"/>
      <c r="V23" s="73" t="str">
        <f t="shared" si="47"/>
        <v/>
      </c>
      <c r="W23" s="33" t="str">
        <f t="shared" si="48"/>
        <v/>
      </c>
      <c r="X23" s="104"/>
      <c r="Y23" s="72" t="str">
        <f t="shared" si="28"/>
        <v/>
      </c>
      <c r="Z23" s="72" t="str">
        <f>IF(OR(O23="",S23=""),"",MIN(MAX(S23-IF(Q23=所属・拠点・確認内容!$D$6,TIME(9,0,0),O23)-Y23-TIME(8,0,0),0),TIME(0,0,0)))</f>
        <v/>
      </c>
      <c r="AA23" s="72" t="str">
        <f t="shared" si="29"/>
        <v/>
      </c>
      <c r="AB23" s="75" t="e">
        <f>SUM($AG$6:AG23)</f>
        <v>#VALUE!</v>
      </c>
      <c r="AC23" s="60"/>
      <c r="AD23" s="76" t="str">
        <f t="shared" si="49"/>
        <v/>
      </c>
      <c r="AE23" s="76" t="str">
        <f t="shared" si="13"/>
        <v/>
      </c>
      <c r="AF23" s="76" t="str">
        <f t="shared" si="14"/>
        <v/>
      </c>
      <c r="AG23" s="75" t="str">
        <f t="shared" si="15"/>
        <v/>
      </c>
      <c r="AH23" s="75" t="str">
        <f t="shared" si="30"/>
        <v/>
      </c>
      <c r="AI23" s="85" t="str">
        <f>IFERROR(IF(AND(VLOOKUP($A23,打刻計算用!$C:$M,9,FALSE),VLOOKUP($A23,打刻計算用!$C:$M,11,FALSE)),"♡","☠"),"")</f>
        <v/>
      </c>
      <c r="AJ23" s="13" t="str">
        <f t="shared" si="16"/>
        <v/>
      </c>
      <c r="AK23" s="13"/>
      <c r="AL23" s="13"/>
      <c r="AM23" s="14"/>
      <c r="AO23" s="14"/>
      <c r="AP23" s="13"/>
      <c r="AQ23" s="14"/>
      <c r="AS23" s="14"/>
      <c r="AU23" s="14"/>
      <c r="AW23" s="14"/>
      <c r="BA23" s="52">
        <f t="shared" si="31"/>
        <v>0</v>
      </c>
      <c r="BB23" s="50" t="str">
        <f t="shared" si="32"/>
        <v/>
      </c>
      <c r="BC23" s="50" t="str">
        <f>IF($AG23="","",IF(OR($O23&lt;=$BC$1,$Q23=所属・拠点・確認内容!$D$7),0,$O23-$BC$1)+IF(OR($S23&gt;=$BC$2,$U23=所属・拠点・確認内容!$E$6),0,$BC$2-$S23)-BB23)</f>
        <v/>
      </c>
    </row>
    <row r="24" spans="1:55" ht="15" customHeight="1">
      <c r="A24" s="59"/>
      <c r="B24" s="91"/>
      <c r="C24" s="116" t="str">
        <f t="shared" si="43"/>
        <v/>
      </c>
      <c r="D24" s="60" t="str">
        <f t="shared" si="44"/>
        <v/>
      </c>
      <c r="E24" s="61" t="str">
        <f t="shared" si="19"/>
        <v/>
      </c>
      <c r="F24" s="61" t="str">
        <f t="shared" si="20"/>
        <v/>
      </c>
      <c r="G24" s="61" t="str">
        <f t="shared" si="21"/>
        <v/>
      </c>
      <c r="H24" s="61" t="str">
        <f t="shared" si="22"/>
        <v/>
      </c>
      <c r="I24" s="61" t="str">
        <f t="shared" si="23"/>
        <v/>
      </c>
      <c r="J24" s="62"/>
      <c r="K24" s="31" t="str">
        <f t="shared" si="45"/>
        <v/>
      </c>
      <c r="L24" s="62"/>
      <c r="M24" s="117" t="str">
        <f>IF(AND(SUM(AH24)&gt;0,C24="",L24="",Q24&lt;&gt;所属・拠点・確認内容!$D$7,U24&lt;&gt;所属・拠点・確認内容!$E$6),"！","")</f>
        <v/>
      </c>
      <c r="N24" s="113" t="str">
        <f>IF(OR(AN24="",AN24&amp;AO24&amp;AT24&amp;AU24="0000"),IFERROR(IF(VLOOKUP(A24,打刻計算用!C:E,2)="","",VLOOKUP(A24,打刻計算用!C:E,2,FALSE)),""),TIMEVALUE(AN24&amp;":"&amp;AO24))</f>
        <v/>
      </c>
      <c r="O24" s="103" t="str">
        <f t="shared" si="8"/>
        <v/>
      </c>
      <c r="P24" s="32" t="str">
        <f>IF(A24="","",IF(N24&gt;O24,"！",IF(AND(O24="",WEEKDAY(A24,2)&lt;=5,NOT(B24="祝日"),C24=""),"！",IF(AND(O24&lt;&gt;"",O24&lt;TIME(9,0,0),Q24&lt;&gt;所属・拠点・確認内容!$D$6,Q24&lt;&gt;所属・拠点・確認内容!$D$7,L24&lt;&gt;"在宅"),"！",IF(AND(O24&gt;$BC$1,SUM(AH24)&gt;0,L24="",Q24&lt;&gt;所属・拠点・確認内容!$D$5,Q24&lt;&gt;所属・拠点・確認内容!$D$7),"！","")))))</f>
        <v/>
      </c>
      <c r="Q24" s="125"/>
      <c r="R24" s="113" t="str">
        <f>IF(OR(AT24="",AN24&amp;AO24&amp;AT24&amp;AU24="0000"),IFERROR(IF(VLOOKUP(A24,打刻計算用!C:E,3,FALSE)="","",VLOOKUP(A24,打刻計算用!C:E,3,FALSE)),""),TIMEVALUE(AT24&amp;":"&amp;AU24))</f>
        <v/>
      </c>
      <c r="S24" s="103" t="str">
        <f t="shared" si="46"/>
        <v/>
      </c>
      <c r="T24" s="32" t="str">
        <f>IF(AND(R24="",S24&lt;&gt;""),"！",IF(R24&lt;S24,"！",IF(AND(O24&lt;&gt;"",S24=""),"！",IF(AND(S24&lt;&gt;"",S24&gt;TIME(20,0,0),U24&lt;&gt;所属・拠点・確認内容!$E$5,U24&lt;&gt;所属・拠点・確認内容!$E$6),"！",IF(AND(S24&lt;$BC$2,AH24&gt;0,AH24&lt;&gt;"",L24="",U24&lt;&gt;所属・拠点・確認内容!$E$6),"！","")))))</f>
        <v/>
      </c>
      <c r="U24" s="34"/>
      <c r="V24" s="73" t="str">
        <f t="shared" si="47"/>
        <v/>
      </c>
      <c r="W24" s="33" t="str">
        <f t="shared" si="48"/>
        <v/>
      </c>
      <c r="X24" s="104"/>
      <c r="Y24" s="72" t="str">
        <f t="shared" si="28"/>
        <v/>
      </c>
      <c r="Z24" s="72" t="str">
        <f>IF(OR(O24="",S24=""),"",MIN(MAX(S24-IF(Q24=所属・拠点・確認内容!$D$6,TIME(9,0,0),O24)-Y24-TIME(8,0,0),0),TIME(0,0,0)))</f>
        <v/>
      </c>
      <c r="AA24" s="72" t="str">
        <f t="shared" si="29"/>
        <v/>
      </c>
      <c r="AB24" s="75" t="e">
        <f>SUM($AG$6:AG24)</f>
        <v>#VALUE!</v>
      </c>
      <c r="AC24" s="60"/>
      <c r="AD24" s="76" t="str">
        <f t="shared" si="49"/>
        <v/>
      </c>
      <c r="AE24" s="76" t="str">
        <f t="shared" si="13"/>
        <v/>
      </c>
      <c r="AF24" s="76" t="str">
        <f t="shared" si="14"/>
        <v/>
      </c>
      <c r="AG24" s="75" t="str">
        <f t="shared" si="15"/>
        <v/>
      </c>
      <c r="AH24" s="75" t="str">
        <f t="shared" si="30"/>
        <v/>
      </c>
      <c r="AI24" s="85" t="str">
        <f>IFERROR(IF(AND(VLOOKUP($A24,打刻計算用!$C:$M,9,FALSE),VLOOKUP($A24,打刻計算用!$C:$M,11,FALSE)),"♡","☠"),"")</f>
        <v/>
      </c>
      <c r="AJ24" s="13" t="str">
        <f t="shared" si="16"/>
        <v/>
      </c>
      <c r="AK24" s="13"/>
      <c r="AL24" s="13"/>
      <c r="AM24" s="14"/>
      <c r="AO24" s="14"/>
      <c r="AP24" s="13"/>
      <c r="AQ24" s="14"/>
      <c r="AS24" s="14"/>
      <c r="AU24" s="14"/>
      <c r="AW24" s="14"/>
      <c r="BA24" s="52">
        <f t="shared" si="31"/>
        <v>0</v>
      </c>
      <c r="BB24" s="50" t="str">
        <f t="shared" si="32"/>
        <v/>
      </c>
      <c r="BC24" s="50" t="str">
        <f>IF($AG24="","",IF(OR($O24&lt;=$BC$1,$Q24=所属・拠点・確認内容!$D$7),0,$O24-$BC$1)+IF(OR($S24&gt;=$BC$2,$U24=所属・拠点・確認内容!$E$6),0,$BC$2-$S24)-BB24)</f>
        <v/>
      </c>
    </row>
    <row r="25" spans="1:55" ht="15" customHeight="1">
      <c r="A25" s="59"/>
      <c r="B25" s="91"/>
      <c r="C25" s="116" t="str">
        <f t="shared" si="43"/>
        <v/>
      </c>
      <c r="D25" s="60" t="str">
        <f t="shared" si="44"/>
        <v/>
      </c>
      <c r="E25" s="61" t="str">
        <f t="shared" si="19"/>
        <v/>
      </c>
      <c r="F25" s="61" t="str">
        <f t="shared" si="20"/>
        <v/>
      </c>
      <c r="G25" s="61" t="str">
        <f t="shared" si="21"/>
        <v/>
      </c>
      <c r="H25" s="61" t="str">
        <f t="shared" si="22"/>
        <v/>
      </c>
      <c r="I25" s="61" t="str">
        <f t="shared" si="23"/>
        <v/>
      </c>
      <c r="J25" s="62"/>
      <c r="K25" s="31" t="str">
        <f t="shared" si="45"/>
        <v/>
      </c>
      <c r="L25" s="62"/>
      <c r="M25" s="117" t="str">
        <f>IF(AND(SUM(AH25)&gt;0,C25="",L25="",Q25&lt;&gt;所属・拠点・確認内容!$D$7,U25&lt;&gt;所属・拠点・確認内容!$E$6),"！","")</f>
        <v/>
      </c>
      <c r="N25" s="113" t="str">
        <f>IF(OR(AN25="",AN25&amp;AO25&amp;AT25&amp;AU25="0000"),IFERROR(IF(VLOOKUP(A25,打刻計算用!C:E,2)="","",VLOOKUP(A25,打刻計算用!C:E,2,FALSE)),""),TIMEVALUE(AN25&amp;":"&amp;AO25))</f>
        <v/>
      </c>
      <c r="O25" s="103" t="str">
        <f t="shared" si="8"/>
        <v/>
      </c>
      <c r="P25" s="32" t="str">
        <f>IF(A25="","",IF(N25&gt;O25,"！",IF(AND(O25="",WEEKDAY(A25,2)&lt;=5,NOT(B25="祝日"),C25=""),"！",IF(AND(O25&lt;&gt;"",O25&lt;TIME(9,0,0),Q25&lt;&gt;所属・拠点・確認内容!$D$6,Q25&lt;&gt;所属・拠点・確認内容!$D$7,L25&lt;&gt;"在宅"),"！",IF(AND(O25&gt;$BC$1,SUM(AH25)&gt;0,L25="",Q25&lt;&gt;所属・拠点・確認内容!$D$5,Q25&lt;&gt;所属・拠点・確認内容!$D$7),"！","")))))</f>
        <v/>
      </c>
      <c r="Q25" s="125"/>
      <c r="R25" s="113" t="str">
        <f>IF(OR(AT25="",AN25&amp;AO25&amp;AT25&amp;AU25="0000"),IFERROR(IF(VLOOKUP(A25,打刻計算用!C:E,3,FALSE)="","",VLOOKUP(A25,打刻計算用!C:E,3,FALSE)),""),TIMEVALUE(AT25&amp;":"&amp;AU25))</f>
        <v/>
      </c>
      <c r="S25" s="103" t="str">
        <f t="shared" si="46"/>
        <v/>
      </c>
      <c r="T25" s="32" t="str">
        <f>IF(AND(R25="",S25&lt;&gt;""),"！",IF(R25&lt;S25,"！",IF(AND(O25&lt;&gt;"",S25=""),"！",IF(AND(S25&lt;&gt;"",S25&gt;TIME(20,0,0),U25&lt;&gt;所属・拠点・確認内容!$E$5,U25&lt;&gt;所属・拠点・確認内容!$E$6),"！",IF(AND(S25&lt;$BC$2,AH25&gt;0,AH25&lt;&gt;"",L25="",U25&lt;&gt;所属・拠点・確認内容!$E$6),"！","")))))</f>
        <v/>
      </c>
      <c r="U25" s="34"/>
      <c r="V25" s="73" t="str">
        <f t="shared" si="47"/>
        <v/>
      </c>
      <c r="W25" s="33" t="str">
        <f t="shared" si="48"/>
        <v/>
      </c>
      <c r="X25" s="104"/>
      <c r="Y25" s="72" t="str">
        <f t="shared" si="28"/>
        <v/>
      </c>
      <c r="Z25" s="72" t="str">
        <f>IF(OR(O25="",S25=""),"",MIN(MAX(S25-IF(Q25=所属・拠点・確認内容!$D$6,TIME(9,0,0),O25)-Y25-TIME(8,0,0),0),TIME(0,0,0)))</f>
        <v/>
      </c>
      <c r="AA25" s="72" t="str">
        <f t="shared" si="29"/>
        <v/>
      </c>
      <c r="AB25" s="75" t="e">
        <f>SUM($AG$6:AG25)</f>
        <v>#VALUE!</v>
      </c>
      <c r="AC25" s="60"/>
      <c r="AD25" s="76" t="str">
        <f t="shared" si="49"/>
        <v/>
      </c>
      <c r="AE25" s="76" t="str">
        <f t="shared" si="13"/>
        <v/>
      </c>
      <c r="AF25" s="76" t="str">
        <f t="shared" si="14"/>
        <v/>
      </c>
      <c r="AG25" s="75" t="str">
        <f t="shared" si="15"/>
        <v/>
      </c>
      <c r="AH25" s="75" t="str">
        <f t="shared" si="30"/>
        <v/>
      </c>
      <c r="AI25" s="85" t="str">
        <f>IFERROR(IF(AND(VLOOKUP($A25,打刻計算用!$C:$M,9,FALSE),VLOOKUP($A25,打刻計算用!$C:$M,11,FALSE)),"♡","☠"),"")</f>
        <v/>
      </c>
      <c r="AJ25" s="13" t="str">
        <f t="shared" si="16"/>
        <v/>
      </c>
      <c r="AK25" s="13"/>
      <c r="AL25" s="13"/>
      <c r="AM25" s="14"/>
      <c r="AO25" s="14"/>
      <c r="AP25" s="13"/>
      <c r="AQ25" s="14"/>
      <c r="AS25" s="14"/>
      <c r="AU25" s="14"/>
      <c r="AW25" s="14"/>
      <c r="BA25" s="52">
        <f t="shared" si="31"/>
        <v>0</v>
      </c>
      <c r="BB25" s="50" t="str">
        <f t="shared" si="32"/>
        <v/>
      </c>
      <c r="BC25" s="50" t="str">
        <f>IF($AG25="","",IF(OR($O25&lt;=$BC$1,$Q25=所属・拠点・確認内容!$D$7),0,$O25-$BC$1)+IF(OR($S25&gt;=$BC$2,$U25=所属・拠点・確認内容!$E$6),0,$BC$2-$S25)-BB25)</f>
        <v/>
      </c>
    </row>
    <row r="26" spans="1:55" ht="15" customHeight="1">
      <c r="A26" s="59"/>
      <c r="B26" s="91"/>
      <c r="C26" s="116" t="str">
        <f t="shared" si="43"/>
        <v/>
      </c>
      <c r="D26" s="60" t="str">
        <f t="shared" si="44"/>
        <v/>
      </c>
      <c r="E26" s="61" t="str">
        <f t="shared" si="19"/>
        <v/>
      </c>
      <c r="F26" s="61" t="str">
        <f t="shared" si="20"/>
        <v/>
      </c>
      <c r="G26" s="61" t="str">
        <f t="shared" si="21"/>
        <v/>
      </c>
      <c r="H26" s="61" t="str">
        <f t="shared" si="22"/>
        <v/>
      </c>
      <c r="I26" s="61" t="str">
        <f t="shared" si="23"/>
        <v/>
      </c>
      <c r="J26" s="62"/>
      <c r="K26" s="31" t="str">
        <f t="shared" si="45"/>
        <v/>
      </c>
      <c r="L26" s="62"/>
      <c r="M26" s="117" t="str">
        <f>IF(AND(SUM(AH26)&gt;0,C26="",L26="",Q26&lt;&gt;所属・拠点・確認内容!$D$7,U26&lt;&gt;所属・拠点・確認内容!$E$6),"！","")</f>
        <v/>
      </c>
      <c r="N26" s="113" t="str">
        <f>IF(OR(AN26="",AN26&amp;AO26&amp;AT26&amp;AU26="0000"),IFERROR(IF(VLOOKUP(A26,打刻計算用!C:E,2)="","",VLOOKUP(A26,打刻計算用!C:E,2,FALSE)),""),TIMEVALUE(AN26&amp;":"&amp;AO26))</f>
        <v/>
      </c>
      <c r="O26" s="103" t="str">
        <f t="shared" si="8"/>
        <v/>
      </c>
      <c r="P26" s="32" t="str">
        <f>IF(A26="","",IF(N26&gt;O26,"！",IF(AND(O26="",WEEKDAY(A26,2)&lt;=5,NOT(B26="祝日"),C26=""),"！",IF(AND(O26&lt;&gt;"",O26&lt;TIME(9,0,0),Q26&lt;&gt;所属・拠点・確認内容!$D$6,Q26&lt;&gt;所属・拠点・確認内容!$D$7,L26&lt;&gt;"在宅"),"！",IF(AND(O26&gt;$BC$1,SUM(AH26)&gt;0,L26="",Q26&lt;&gt;所属・拠点・確認内容!$D$5,Q26&lt;&gt;所属・拠点・確認内容!$D$7),"！","")))))</f>
        <v/>
      </c>
      <c r="Q26" s="125"/>
      <c r="R26" s="113" t="str">
        <f>IF(OR(AT26="",AN26&amp;AO26&amp;AT26&amp;AU26="0000"),IFERROR(IF(VLOOKUP(A26,打刻計算用!C:E,3,FALSE)="","",VLOOKUP(A26,打刻計算用!C:E,3,FALSE)),""),TIMEVALUE(AT26&amp;":"&amp;AU26))</f>
        <v/>
      </c>
      <c r="S26" s="103" t="str">
        <f t="shared" si="46"/>
        <v/>
      </c>
      <c r="T26" s="32" t="str">
        <f>IF(AND(R26="",S26&lt;&gt;""),"！",IF(R26&lt;S26,"！",IF(AND(O26&lt;&gt;"",S26=""),"！",IF(AND(S26&lt;&gt;"",S26&gt;TIME(20,0,0),U26&lt;&gt;所属・拠点・確認内容!$E$5,U26&lt;&gt;所属・拠点・確認内容!$E$6),"！",IF(AND(S26&lt;$BC$2,AH26&gt;0,AH26&lt;&gt;"",L26="",U26&lt;&gt;所属・拠点・確認内容!$E$6),"！","")))))</f>
        <v/>
      </c>
      <c r="U26" s="34"/>
      <c r="V26" s="73" t="str">
        <f t="shared" si="47"/>
        <v/>
      </c>
      <c r="W26" s="33" t="str">
        <f t="shared" si="48"/>
        <v/>
      </c>
      <c r="X26" s="104"/>
      <c r="Y26" s="72" t="str">
        <f t="shared" si="28"/>
        <v/>
      </c>
      <c r="Z26" s="72" t="str">
        <f>IF(OR(O26="",S26=""),"",MIN(MAX(S26-IF(Q26=所属・拠点・確認内容!$D$6,TIME(9,0,0),O26)-Y26-TIME(8,0,0),0),TIME(0,0,0)))</f>
        <v/>
      </c>
      <c r="AA26" s="72" t="str">
        <f t="shared" si="29"/>
        <v/>
      </c>
      <c r="AB26" s="75" t="e">
        <f>SUM($AG$6:AG26)</f>
        <v>#VALUE!</v>
      </c>
      <c r="AC26" s="60"/>
      <c r="AD26" s="76" t="str">
        <f t="shared" si="49"/>
        <v/>
      </c>
      <c r="AE26" s="76" t="str">
        <f t="shared" si="13"/>
        <v/>
      </c>
      <c r="AF26" s="76" t="str">
        <f t="shared" si="14"/>
        <v/>
      </c>
      <c r="AG26" s="75" t="str">
        <f t="shared" si="15"/>
        <v/>
      </c>
      <c r="AH26" s="75" t="str">
        <f t="shared" si="30"/>
        <v/>
      </c>
      <c r="AI26" s="85" t="str">
        <f>IFERROR(IF(AND(VLOOKUP($A26,打刻計算用!$C:$M,9,FALSE),VLOOKUP($A26,打刻計算用!$C:$M,11,FALSE)),"♡","☠"),"")</f>
        <v/>
      </c>
      <c r="AJ26" s="13" t="str">
        <f t="shared" si="16"/>
        <v/>
      </c>
      <c r="AK26" s="13"/>
      <c r="AL26" s="13"/>
      <c r="AM26" s="14"/>
      <c r="AO26" s="14"/>
      <c r="AP26" s="13"/>
      <c r="AQ26" s="14"/>
      <c r="AS26" s="14"/>
      <c r="AU26" s="14"/>
      <c r="AW26" s="14"/>
      <c r="BA26" s="52">
        <f t="shared" si="31"/>
        <v>0</v>
      </c>
      <c r="BB26" s="50" t="str">
        <f t="shared" si="32"/>
        <v/>
      </c>
      <c r="BC26" s="50" t="str">
        <f>IF($AG26="","",IF(OR($O26&lt;=$BC$1,$Q26=所属・拠点・確認内容!$D$7),0,$O26-$BC$1)+IF(OR($S26&gt;=$BC$2,$U26=所属・拠点・確認内容!$E$6),0,$BC$2-$S26)-BB26)</f>
        <v/>
      </c>
    </row>
    <row r="27" spans="1:55" ht="15" customHeight="1">
      <c r="A27" s="59"/>
      <c r="B27" s="91"/>
      <c r="C27" s="116" t="str">
        <f t="shared" si="43"/>
        <v/>
      </c>
      <c r="D27" s="60" t="str">
        <f t="shared" si="44"/>
        <v/>
      </c>
      <c r="E27" s="61" t="str">
        <f t="shared" si="19"/>
        <v/>
      </c>
      <c r="F27" s="61" t="str">
        <f t="shared" si="20"/>
        <v/>
      </c>
      <c r="G27" s="61" t="str">
        <f t="shared" si="21"/>
        <v/>
      </c>
      <c r="H27" s="61" t="str">
        <f t="shared" si="22"/>
        <v/>
      </c>
      <c r="I27" s="61" t="str">
        <f t="shared" si="23"/>
        <v/>
      </c>
      <c r="J27" s="62"/>
      <c r="K27" s="31" t="str">
        <f t="shared" si="45"/>
        <v/>
      </c>
      <c r="L27" s="62"/>
      <c r="M27" s="117" t="str">
        <f>IF(AND(SUM(AH27)&gt;0,C27="",L27="",Q27&lt;&gt;所属・拠点・確認内容!$D$7,U27&lt;&gt;所属・拠点・確認内容!$E$6),"！","")</f>
        <v/>
      </c>
      <c r="N27" s="113" t="str">
        <f>IF(OR(AN27="",AN27&amp;AO27&amp;AT27&amp;AU27="0000"),IFERROR(IF(VLOOKUP(A27,打刻計算用!C:E,2)="","",VLOOKUP(A27,打刻計算用!C:E,2,FALSE)),""),TIMEVALUE(AN27&amp;":"&amp;AO27))</f>
        <v/>
      </c>
      <c r="O27" s="103" t="str">
        <f t="shared" si="8"/>
        <v/>
      </c>
      <c r="P27" s="32" t="str">
        <f>IF(A27="","",IF(N27&gt;O27,"！",IF(AND(O27="",WEEKDAY(A27,2)&lt;=5,NOT(B27="祝日"),C27=""),"！",IF(AND(O27&lt;&gt;"",O27&lt;TIME(9,0,0),Q27&lt;&gt;所属・拠点・確認内容!$D$6,Q27&lt;&gt;所属・拠点・確認内容!$D$7,L27&lt;&gt;"在宅"),"！",IF(AND(O27&gt;$BC$1,SUM(AH27)&gt;0,L27="",Q27&lt;&gt;所属・拠点・確認内容!$D$5,Q27&lt;&gt;所属・拠点・確認内容!$D$7),"！","")))))</f>
        <v/>
      </c>
      <c r="Q27" s="125"/>
      <c r="R27" s="113" t="str">
        <f>IF(OR(AT27="",AN27&amp;AO27&amp;AT27&amp;AU27="0000"),IFERROR(IF(VLOOKUP(A27,打刻計算用!C:E,3,FALSE)="","",VLOOKUP(A27,打刻計算用!C:E,3,FALSE)),""),TIMEVALUE(AT27&amp;":"&amp;AU27))</f>
        <v/>
      </c>
      <c r="S27" s="103" t="str">
        <f t="shared" si="46"/>
        <v/>
      </c>
      <c r="T27" s="32" t="str">
        <f>IF(AND(R27="",S27&lt;&gt;""),"！",IF(R27&lt;S27,"！",IF(AND(O27&lt;&gt;"",S27=""),"！",IF(AND(S27&lt;&gt;"",S27&gt;TIME(20,0,0),U27&lt;&gt;所属・拠点・確認内容!$E$5,U27&lt;&gt;所属・拠点・確認内容!$E$6),"！",IF(AND(S27&lt;$BC$2,AH27&gt;0,AH27&lt;&gt;"",L27="",U27&lt;&gt;所属・拠点・確認内容!$E$6),"！","")))))</f>
        <v/>
      </c>
      <c r="U27" s="34"/>
      <c r="V27" s="73" t="str">
        <f t="shared" si="47"/>
        <v/>
      </c>
      <c r="W27" s="33" t="str">
        <f t="shared" si="48"/>
        <v/>
      </c>
      <c r="X27" s="104"/>
      <c r="Y27" s="72" t="str">
        <f t="shared" si="28"/>
        <v/>
      </c>
      <c r="Z27" s="72" t="str">
        <f>IF(OR(O27="",S27=""),"",MIN(MAX(S27-IF(Q27=所属・拠点・確認内容!$D$6,TIME(9,0,0),O27)-Y27-TIME(8,0,0),0),TIME(0,0,0)))</f>
        <v/>
      </c>
      <c r="AA27" s="72" t="str">
        <f t="shared" si="29"/>
        <v/>
      </c>
      <c r="AB27" s="75" t="e">
        <f>SUM($AG$6:AG27)</f>
        <v>#VALUE!</v>
      </c>
      <c r="AC27" s="60"/>
      <c r="AD27" s="76" t="str">
        <f t="shared" si="49"/>
        <v/>
      </c>
      <c r="AE27" s="76" t="str">
        <f t="shared" si="13"/>
        <v/>
      </c>
      <c r="AF27" s="76" t="str">
        <f t="shared" si="14"/>
        <v/>
      </c>
      <c r="AG27" s="75" t="str">
        <f t="shared" si="15"/>
        <v/>
      </c>
      <c r="AH27" s="75" t="str">
        <f t="shared" si="30"/>
        <v/>
      </c>
      <c r="AI27" s="85" t="str">
        <f>IFERROR(IF(AND(VLOOKUP($A27,打刻計算用!$C:$M,9,FALSE),VLOOKUP($A27,打刻計算用!$C:$M,11,FALSE)),"♡","☠"),"")</f>
        <v/>
      </c>
      <c r="AJ27" s="13" t="str">
        <f t="shared" si="16"/>
        <v/>
      </c>
      <c r="AK27" s="13"/>
      <c r="AL27" s="13"/>
      <c r="AM27" s="14"/>
      <c r="AO27" s="14"/>
      <c r="AP27" s="13"/>
      <c r="AQ27" s="14"/>
      <c r="AS27" s="14"/>
      <c r="AU27" s="14"/>
      <c r="AW27" s="14"/>
      <c r="BA27" s="52">
        <f t="shared" si="31"/>
        <v>0</v>
      </c>
      <c r="BB27" s="50" t="str">
        <f t="shared" si="32"/>
        <v/>
      </c>
      <c r="BC27" s="50" t="str">
        <f>IF($AG27="","",IF(OR($O27&lt;=$BC$1,$Q27=所属・拠点・確認内容!$D$7),0,$O27-$BC$1)+IF(OR($S27&gt;=$BC$2,$U27=所属・拠点・確認内容!$E$6),0,$BC$2-$S27)-BB27)</f>
        <v/>
      </c>
    </row>
    <row r="28" spans="1:55" ht="15" customHeight="1">
      <c r="A28" s="59"/>
      <c r="B28" s="91"/>
      <c r="C28" s="116" t="str">
        <f t="shared" si="43"/>
        <v/>
      </c>
      <c r="D28" s="60" t="str">
        <f t="shared" si="44"/>
        <v/>
      </c>
      <c r="E28" s="61" t="str">
        <f t="shared" si="19"/>
        <v/>
      </c>
      <c r="F28" s="61" t="str">
        <f t="shared" si="20"/>
        <v/>
      </c>
      <c r="G28" s="61" t="str">
        <f t="shared" si="21"/>
        <v/>
      </c>
      <c r="H28" s="61" t="str">
        <f t="shared" si="22"/>
        <v/>
      </c>
      <c r="I28" s="61" t="str">
        <f t="shared" si="23"/>
        <v/>
      </c>
      <c r="J28" s="62"/>
      <c r="K28" s="31" t="str">
        <f t="shared" si="45"/>
        <v/>
      </c>
      <c r="L28" s="62"/>
      <c r="M28" s="117" t="str">
        <f>IF(AND(SUM(AH28)&gt;0,C28="",L28="",Q28&lt;&gt;所属・拠点・確認内容!$D$7,U28&lt;&gt;所属・拠点・確認内容!$E$6),"！","")</f>
        <v/>
      </c>
      <c r="N28" s="113" t="str">
        <f>IF(OR(AN28="",AN28&amp;AO28&amp;AT28&amp;AU28="0000"),IFERROR(IF(VLOOKUP(A28,打刻計算用!C:E,2)="","",VLOOKUP(A28,打刻計算用!C:E,2,FALSE)),""),TIMEVALUE(AN28&amp;":"&amp;AO28))</f>
        <v/>
      </c>
      <c r="O28" s="103" t="str">
        <f t="shared" si="8"/>
        <v/>
      </c>
      <c r="P28" s="32" t="str">
        <f>IF(A28="","",IF(N28&gt;O28,"！",IF(AND(O28="",WEEKDAY(A28,2)&lt;=5,NOT(B28="祝日"),C28=""),"！",IF(AND(O28&lt;&gt;"",O28&lt;TIME(9,0,0),Q28&lt;&gt;所属・拠点・確認内容!$D$6,Q28&lt;&gt;所属・拠点・確認内容!$D$7,L28&lt;&gt;"在宅"),"！",IF(AND(O28&gt;$BC$1,SUM(AH28)&gt;0,L28="",Q28&lt;&gt;所属・拠点・確認内容!$D$5,Q28&lt;&gt;所属・拠点・確認内容!$D$7),"！","")))))</f>
        <v/>
      </c>
      <c r="Q28" s="125"/>
      <c r="R28" s="113" t="str">
        <f>IF(OR(AT28="",AN28&amp;AO28&amp;AT28&amp;AU28="0000"),IFERROR(IF(VLOOKUP(A28,打刻計算用!C:E,3,FALSE)="","",VLOOKUP(A28,打刻計算用!C:E,3,FALSE)),""),TIMEVALUE(AT28&amp;":"&amp;AU28))</f>
        <v/>
      </c>
      <c r="S28" s="103" t="str">
        <f t="shared" si="46"/>
        <v/>
      </c>
      <c r="T28" s="32" t="str">
        <f>IF(AND(R28="",S28&lt;&gt;""),"！",IF(R28&lt;S28,"！",IF(AND(O28&lt;&gt;"",S28=""),"！",IF(AND(S28&lt;&gt;"",S28&gt;TIME(20,0,0),U28&lt;&gt;所属・拠点・確認内容!$E$5,U28&lt;&gt;所属・拠点・確認内容!$E$6),"！",IF(AND(S28&lt;$BC$2,AH28&gt;0,AH28&lt;&gt;"",L28="",U28&lt;&gt;所属・拠点・確認内容!$E$6),"！","")))))</f>
        <v/>
      </c>
      <c r="U28" s="34"/>
      <c r="V28" s="73" t="str">
        <f t="shared" si="47"/>
        <v/>
      </c>
      <c r="W28" s="33" t="str">
        <f t="shared" si="48"/>
        <v/>
      </c>
      <c r="X28" s="104"/>
      <c r="Y28" s="72" t="str">
        <f t="shared" si="28"/>
        <v/>
      </c>
      <c r="Z28" s="72" t="str">
        <f>IF(OR(O28="",S28=""),"",MIN(MAX(S28-IF(Q28=所属・拠点・確認内容!$D$6,TIME(9,0,0),O28)-Y28-TIME(8,0,0),0),TIME(0,0,0)))</f>
        <v/>
      </c>
      <c r="AA28" s="72" t="str">
        <f t="shared" si="29"/>
        <v/>
      </c>
      <c r="AB28" s="75" t="e">
        <f>SUM($AG$6:AG28)</f>
        <v>#VALUE!</v>
      </c>
      <c r="AC28" s="60"/>
      <c r="AD28" s="76" t="str">
        <f t="shared" si="49"/>
        <v/>
      </c>
      <c r="AE28" s="76" t="str">
        <f t="shared" si="13"/>
        <v/>
      </c>
      <c r="AF28" s="76" t="str">
        <f t="shared" si="14"/>
        <v/>
      </c>
      <c r="AG28" s="75" t="str">
        <f t="shared" si="15"/>
        <v/>
      </c>
      <c r="AH28" s="75" t="str">
        <f t="shared" si="30"/>
        <v/>
      </c>
      <c r="AI28" s="85" t="str">
        <f>IFERROR(IF(AND(VLOOKUP($A28,打刻計算用!$C:$M,9,FALSE),VLOOKUP($A28,打刻計算用!$C:$M,11,FALSE)),"♡","☠"),"")</f>
        <v/>
      </c>
      <c r="AJ28" s="13" t="str">
        <f t="shared" si="16"/>
        <v/>
      </c>
      <c r="AK28" s="13"/>
      <c r="AL28" s="13"/>
      <c r="AM28" s="14"/>
      <c r="AO28" s="14"/>
      <c r="AP28" s="13"/>
      <c r="AQ28" s="14"/>
      <c r="AS28" s="14"/>
      <c r="AU28" s="14"/>
      <c r="AW28" s="14"/>
      <c r="BA28" s="52">
        <f t="shared" si="31"/>
        <v>0</v>
      </c>
      <c r="BB28" s="50" t="str">
        <f t="shared" si="32"/>
        <v/>
      </c>
      <c r="BC28" s="50" t="str">
        <f>IF($AG28="","",IF(OR($O28&lt;=$BC$1,$Q28=所属・拠点・確認内容!$D$7),0,$O28-$BC$1)+IF(OR($S28&gt;=$BC$2,$U28=所属・拠点・確認内容!$E$6),0,$BC$2-$S28)-BB28)</f>
        <v/>
      </c>
    </row>
    <row r="29" spans="1:55" ht="15" customHeight="1">
      <c r="A29" s="59"/>
      <c r="B29" s="91"/>
      <c r="C29" s="116" t="str">
        <f t="shared" si="43"/>
        <v/>
      </c>
      <c r="D29" s="60" t="str">
        <f t="shared" si="44"/>
        <v/>
      </c>
      <c r="E29" s="61" t="str">
        <f t="shared" si="19"/>
        <v/>
      </c>
      <c r="F29" s="61" t="str">
        <f t="shared" si="20"/>
        <v/>
      </c>
      <c r="G29" s="61" t="str">
        <f t="shared" si="21"/>
        <v/>
      </c>
      <c r="H29" s="61" t="str">
        <f t="shared" si="22"/>
        <v/>
      </c>
      <c r="I29" s="61" t="str">
        <f t="shared" si="23"/>
        <v/>
      </c>
      <c r="J29" s="62"/>
      <c r="K29" s="31" t="str">
        <f t="shared" si="45"/>
        <v/>
      </c>
      <c r="L29" s="62"/>
      <c r="M29" s="117" t="str">
        <f>IF(AND(SUM(AH29)&gt;0,C29="",L29="",Q29&lt;&gt;所属・拠点・確認内容!$D$7,U29&lt;&gt;所属・拠点・確認内容!$E$6),"！","")</f>
        <v/>
      </c>
      <c r="N29" s="113" t="str">
        <f>IF(OR(AN29="",AN29&amp;AO29&amp;AT29&amp;AU29="0000"),IFERROR(IF(VLOOKUP(A29,打刻計算用!C:E,2)="","",VLOOKUP(A29,打刻計算用!C:E,2,FALSE)),""),TIMEVALUE(AN29&amp;":"&amp;AO29))</f>
        <v/>
      </c>
      <c r="O29" s="103" t="str">
        <f t="shared" si="8"/>
        <v/>
      </c>
      <c r="P29" s="32" t="str">
        <f>IF(A29="","",IF(N29&gt;O29,"！",IF(AND(O29="",WEEKDAY(A29,2)&lt;=5,NOT(B29="祝日"),C29=""),"！",IF(AND(O29&lt;&gt;"",O29&lt;TIME(9,0,0),Q29&lt;&gt;所属・拠点・確認内容!$D$6,Q29&lt;&gt;所属・拠点・確認内容!$D$7,L29&lt;&gt;"在宅"),"！",IF(AND(O29&gt;$BC$1,SUM(AH29)&gt;0,L29="",Q29&lt;&gt;所属・拠点・確認内容!$D$5,Q29&lt;&gt;所属・拠点・確認内容!$D$7),"！","")))))</f>
        <v/>
      </c>
      <c r="Q29" s="125"/>
      <c r="R29" s="113" t="str">
        <f>IF(OR(AT29="",AN29&amp;AO29&amp;AT29&amp;AU29="0000"),IFERROR(IF(VLOOKUP(A29,打刻計算用!C:E,3,FALSE)="","",VLOOKUP(A29,打刻計算用!C:E,3,FALSE)),""),TIMEVALUE(AT29&amp;":"&amp;AU29))</f>
        <v/>
      </c>
      <c r="S29" s="103" t="str">
        <f t="shared" si="46"/>
        <v/>
      </c>
      <c r="T29" s="32" t="str">
        <f>IF(AND(R29="",S29&lt;&gt;""),"！",IF(R29&lt;S29,"！",IF(AND(O29&lt;&gt;"",S29=""),"！",IF(AND(S29&lt;&gt;"",S29&gt;TIME(20,0,0),U29&lt;&gt;所属・拠点・確認内容!$E$5,U29&lt;&gt;所属・拠点・確認内容!$E$6),"！",IF(AND(S29&lt;$BC$2,AH29&gt;0,AH29&lt;&gt;"",L29="",U29&lt;&gt;所属・拠点・確認内容!$E$6),"！","")))))</f>
        <v/>
      </c>
      <c r="U29" s="34"/>
      <c r="V29" s="73" t="str">
        <f t="shared" si="47"/>
        <v/>
      </c>
      <c r="W29" s="33" t="str">
        <f t="shared" si="48"/>
        <v/>
      </c>
      <c r="X29" s="104"/>
      <c r="Y29" s="72" t="str">
        <f t="shared" si="28"/>
        <v/>
      </c>
      <c r="Z29" s="72" t="str">
        <f>IF(OR(O29="",S29=""),"",MIN(MAX(S29-IF(Q29=所属・拠点・確認内容!$D$6,TIME(9,0,0),O29)-Y29-TIME(8,0,0),0),TIME(0,0,0)))</f>
        <v/>
      </c>
      <c r="AA29" s="72" t="str">
        <f t="shared" si="29"/>
        <v/>
      </c>
      <c r="AB29" s="75" t="e">
        <f>SUM($AG$6:AG29)</f>
        <v>#VALUE!</v>
      </c>
      <c r="AC29" s="60"/>
      <c r="AD29" s="76" t="str">
        <f t="shared" si="49"/>
        <v/>
      </c>
      <c r="AE29" s="76" t="str">
        <f t="shared" si="13"/>
        <v/>
      </c>
      <c r="AF29" s="76" t="str">
        <f t="shared" si="14"/>
        <v/>
      </c>
      <c r="AG29" s="75" t="str">
        <f t="shared" si="15"/>
        <v/>
      </c>
      <c r="AH29" s="75" t="str">
        <f t="shared" si="30"/>
        <v/>
      </c>
      <c r="AI29" s="85" t="str">
        <f>IFERROR(IF(AND(VLOOKUP($A29,打刻計算用!$C:$M,9,FALSE),VLOOKUP($A29,打刻計算用!$C:$M,11,FALSE)),"♡","☠"),"")</f>
        <v/>
      </c>
      <c r="AJ29" s="13" t="str">
        <f t="shared" si="16"/>
        <v/>
      </c>
      <c r="AK29" s="13"/>
      <c r="AL29" s="13"/>
      <c r="AM29" s="14"/>
      <c r="AO29" s="14"/>
      <c r="AP29" s="13"/>
      <c r="AQ29" s="14"/>
      <c r="AS29" s="14"/>
      <c r="AU29" s="14"/>
      <c r="AW29" s="14"/>
      <c r="BA29" s="52">
        <f t="shared" si="31"/>
        <v>0</v>
      </c>
      <c r="BB29" s="50" t="str">
        <f t="shared" si="32"/>
        <v/>
      </c>
      <c r="BC29" s="50" t="str">
        <f>IF($AG29="","",IF(OR($O29&lt;=$BC$1,$Q29=所属・拠点・確認内容!$D$7),0,$O29-$BC$1)+IF(OR($S29&gt;=$BC$2,$U29=所属・拠点・確認内容!$E$6),0,$BC$2-$S29)-BB29)</f>
        <v/>
      </c>
    </row>
    <row r="30" spans="1:55" ht="15" customHeight="1">
      <c r="A30" s="59"/>
      <c r="B30" s="91"/>
      <c r="C30" s="116" t="str">
        <f t="shared" si="43"/>
        <v/>
      </c>
      <c r="D30" s="60" t="str">
        <f t="shared" si="44"/>
        <v/>
      </c>
      <c r="E30" s="61" t="str">
        <f t="shared" si="19"/>
        <v/>
      </c>
      <c r="F30" s="61" t="str">
        <f t="shared" si="20"/>
        <v/>
      </c>
      <c r="G30" s="61" t="str">
        <f t="shared" si="21"/>
        <v/>
      </c>
      <c r="H30" s="61" t="str">
        <f t="shared" si="22"/>
        <v/>
      </c>
      <c r="I30" s="61" t="str">
        <f t="shared" si="23"/>
        <v/>
      </c>
      <c r="J30" s="62"/>
      <c r="K30" s="31" t="str">
        <f t="shared" si="45"/>
        <v/>
      </c>
      <c r="L30" s="62"/>
      <c r="M30" s="117" t="str">
        <f>IF(AND(SUM(AH30)&gt;0,C30="",L30="",Q30&lt;&gt;所属・拠点・確認内容!$D$7,U30&lt;&gt;所属・拠点・確認内容!$E$6),"！","")</f>
        <v/>
      </c>
      <c r="N30" s="113" t="str">
        <f>IF(OR(AN30="",AN30&amp;AO30&amp;AT30&amp;AU30="0000"),IFERROR(IF(VLOOKUP(A30,打刻計算用!C:E,2)="","",VLOOKUP(A30,打刻計算用!C:E,2,FALSE)),""),TIMEVALUE(AN30&amp;":"&amp;AO30))</f>
        <v/>
      </c>
      <c r="O30" s="103" t="str">
        <f t="shared" si="8"/>
        <v/>
      </c>
      <c r="P30" s="32" t="str">
        <f>IF(A30="","",IF(N30&gt;O30,"！",IF(AND(O30="",WEEKDAY(A30,2)&lt;=5,NOT(B30="祝日"),C30=""),"！",IF(AND(O30&lt;&gt;"",O30&lt;TIME(9,0,0),Q30&lt;&gt;所属・拠点・確認内容!$D$6,Q30&lt;&gt;所属・拠点・確認内容!$D$7,L30&lt;&gt;"在宅"),"！",IF(AND(O30&gt;$BC$1,SUM(AH30)&gt;0,L30="",Q30&lt;&gt;所属・拠点・確認内容!$D$5,Q30&lt;&gt;所属・拠点・確認内容!$D$7),"！","")))))</f>
        <v/>
      </c>
      <c r="Q30" s="125"/>
      <c r="R30" s="113" t="str">
        <f>IF(OR(AT30="",AN30&amp;AO30&amp;AT30&amp;AU30="0000"),IFERROR(IF(VLOOKUP(A30,打刻計算用!C:E,3,FALSE)="","",VLOOKUP(A30,打刻計算用!C:E,3,FALSE)),""),TIMEVALUE(AT30&amp;":"&amp;AU30))</f>
        <v/>
      </c>
      <c r="S30" s="103" t="str">
        <f t="shared" si="46"/>
        <v/>
      </c>
      <c r="T30" s="32" t="str">
        <f>IF(AND(R30="",S30&lt;&gt;""),"！",IF(R30&lt;S30,"！",IF(AND(O30&lt;&gt;"",S30=""),"！",IF(AND(S30&lt;&gt;"",S30&gt;TIME(20,0,0),U30&lt;&gt;所属・拠点・確認内容!$E$5,U30&lt;&gt;所属・拠点・確認内容!$E$6),"！",IF(AND(S30&lt;$BC$2,AH30&gt;0,AH30&lt;&gt;"",L30="",U30&lt;&gt;所属・拠点・確認内容!$E$6),"！","")))))</f>
        <v/>
      </c>
      <c r="U30" s="34"/>
      <c r="V30" s="73" t="str">
        <f t="shared" si="47"/>
        <v/>
      </c>
      <c r="W30" s="33" t="str">
        <f t="shared" si="48"/>
        <v/>
      </c>
      <c r="X30" s="104"/>
      <c r="Y30" s="72" t="str">
        <f t="shared" si="28"/>
        <v/>
      </c>
      <c r="Z30" s="72" t="str">
        <f>IF(OR(O30="",S30=""),"",MIN(MAX(S30-IF(Q30=所属・拠点・確認内容!$D$6,TIME(9,0,0),O30)-Y30-TIME(8,0,0),0),TIME(0,0,0)))</f>
        <v/>
      </c>
      <c r="AA30" s="72" t="str">
        <f t="shared" si="29"/>
        <v/>
      </c>
      <c r="AB30" s="75" t="e">
        <f>SUM($AG$6:AG30)</f>
        <v>#VALUE!</v>
      </c>
      <c r="AC30" s="60"/>
      <c r="AD30" s="76" t="str">
        <f t="shared" si="49"/>
        <v/>
      </c>
      <c r="AE30" s="76" t="str">
        <f t="shared" si="13"/>
        <v/>
      </c>
      <c r="AF30" s="76" t="str">
        <f t="shared" si="14"/>
        <v/>
      </c>
      <c r="AG30" s="75" t="str">
        <f t="shared" si="15"/>
        <v/>
      </c>
      <c r="AH30" s="75" t="str">
        <f t="shared" si="30"/>
        <v/>
      </c>
      <c r="AI30" s="85" t="str">
        <f>IFERROR(IF(AND(VLOOKUP($A30,打刻計算用!$C:$M,9,FALSE),VLOOKUP($A30,打刻計算用!$C:$M,11,FALSE)),"♡","☠"),"")</f>
        <v/>
      </c>
      <c r="AJ30" s="13" t="str">
        <f t="shared" si="16"/>
        <v/>
      </c>
      <c r="AK30" s="13"/>
      <c r="AL30" s="13"/>
      <c r="AM30" s="14"/>
      <c r="AO30" s="14"/>
      <c r="AP30" s="13"/>
      <c r="AQ30" s="14"/>
      <c r="AS30" s="14"/>
      <c r="AU30" s="14"/>
      <c r="AW30" s="14"/>
      <c r="BA30" s="52">
        <f t="shared" si="31"/>
        <v>0</v>
      </c>
      <c r="BB30" s="50" t="str">
        <f t="shared" si="32"/>
        <v/>
      </c>
      <c r="BC30" s="50" t="str">
        <f>IF($AG30="","",IF(OR($O30&lt;=$BC$1,$Q30=所属・拠点・確認内容!$D$7),0,$O30-$BC$1)+IF(OR($S30&gt;=$BC$2,$U30=所属・拠点・確認内容!$E$6),0,$BC$2-$S30)-BB30)</f>
        <v/>
      </c>
    </row>
    <row r="31" spans="1:55" ht="15" customHeight="1">
      <c r="A31" s="59"/>
      <c r="B31" s="91"/>
      <c r="C31" s="116" t="str">
        <f t="shared" si="43"/>
        <v/>
      </c>
      <c r="D31" s="60" t="str">
        <f t="shared" si="44"/>
        <v/>
      </c>
      <c r="E31" s="61" t="str">
        <f t="shared" si="19"/>
        <v/>
      </c>
      <c r="F31" s="61" t="str">
        <f t="shared" si="20"/>
        <v/>
      </c>
      <c r="G31" s="61" t="str">
        <f t="shared" si="21"/>
        <v/>
      </c>
      <c r="H31" s="61" t="str">
        <f t="shared" si="22"/>
        <v/>
      </c>
      <c r="I31" s="61" t="str">
        <f t="shared" si="23"/>
        <v/>
      </c>
      <c r="J31" s="62"/>
      <c r="K31" s="31" t="str">
        <f t="shared" si="45"/>
        <v/>
      </c>
      <c r="L31" s="62"/>
      <c r="M31" s="117" t="str">
        <f>IF(AND(SUM(AH31)&gt;0,C31="",L31="",Q31&lt;&gt;所属・拠点・確認内容!$D$7,U31&lt;&gt;所属・拠点・確認内容!$E$6),"！","")</f>
        <v/>
      </c>
      <c r="N31" s="113" t="str">
        <f>IF(OR(AN31="",AN31&amp;AO31&amp;AT31&amp;AU31="0000"),IFERROR(IF(VLOOKUP(A31,打刻計算用!C:E,2)="","",VLOOKUP(A31,打刻計算用!C:E,2,FALSE)),""),TIMEVALUE(AN31&amp;":"&amp;AO31))</f>
        <v/>
      </c>
      <c r="O31" s="103" t="str">
        <f t="shared" si="8"/>
        <v/>
      </c>
      <c r="P31" s="32" t="str">
        <f>IF(A31="","",IF(N31&gt;O31,"！",IF(AND(O31="",WEEKDAY(A31,2)&lt;=5,NOT(B31="祝日"),C31=""),"！",IF(AND(O31&lt;&gt;"",O31&lt;TIME(9,0,0),Q31&lt;&gt;所属・拠点・確認内容!$D$6,Q31&lt;&gt;所属・拠点・確認内容!$D$7,L31&lt;&gt;"在宅"),"！",IF(AND(O31&gt;$BC$1,SUM(AH31)&gt;0,L31="",Q31&lt;&gt;所属・拠点・確認内容!$D$5,Q31&lt;&gt;所属・拠点・確認内容!$D$7),"！","")))))</f>
        <v/>
      </c>
      <c r="Q31" s="125"/>
      <c r="R31" s="113" t="str">
        <f>IF(OR(AT31="",AN31&amp;AO31&amp;AT31&amp;AU31="0000"),IFERROR(IF(VLOOKUP(A31,打刻計算用!C:E,3,FALSE)="","",VLOOKUP(A31,打刻計算用!C:E,3,FALSE)),""),TIMEVALUE(AT31&amp;":"&amp;AU31))</f>
        <v/>
      </c>
      <c r="S31" s="103" t="str">
        <f t="shared" si="46"/>
        <v/>
      </c>
      <c r="T31" s="32" t="str">
        <f>IF(AND(R31="",S31&lt;&gt;""),"！",IF(R31&lt;S31,"！",IF(AND(O31&lt;&gt;"",S31=""),"！",IF(AND(S31&lt;&gt;"",S31&gt;TIME(20,0,0),U31&lt;&gt;所属・拠点・確認内容!$E$5,U31&lt;&gt;所属・拠点・確認内容!$E$6),"！",IF(AND(S31&lt;$BC$2,AH31&gt;0,AH31&lt;&gt;"",L31="",U31&lt;&gt;所属・拠点・確認内容!$E$6),"！","")))))</f>
        <v/>
      </c>
      <c r="U31" s="34"/>
      <c r="V31" s="73" t="str">
        <f t="shared" si="47"/>
        <v/>
      </c>
      <c r="W31" s="33" t="str">
        <f t="shared" si="48"/>
        <v/>
      </c>
      <c r="X31" s="104"/>
      <c r="Y31" s="72" t="str">
        <f t="shared" si="28"/>
        <v/>
      </c>
      <c r="Z31" s="72" t="str">
        <f>IF(OR(O31="",S31=""),"",MIN(MAX(S31-IF(Q31=所属・拠点・確認内容!$D$6,TIME(9,0,0),O31)-Y31-TIME(8,0,0),0),TIME(0,0,0)))</f>
        <v/>
      </c>
      <c r="AA31" s="72" t="str">
        <f t="shared" si="29"/>
        <v/>
      </c>
      <c r="AB31" s="75" t="e">
        <f>SUM($AG$6:AG31)</f>
        <v>#VALUE!</v>
      </c>
      <c r="AC31" s="60"/>
      <c r="AD31" s="76" t="str">
        <f t="shared" si="49"/>
        <v/>
      </c>
      <c r="AE31" s="76" t="str">
        <f t="shared" si="13"/>
        <v/>
      </c>
      <c r="AF31" s="76" t="str">
        <f t="shared" si="14"/>
        <v/>
      </c>
      <c r="AG31" s="75" t="str">
        <f t="shared" si="15"/>
        <v/>
      </c>
      <c r="AH31" s="75" t="str">
        <f t="shared" si="30"/>
        <v/>
      </c>
      <c r="AI31" s="85" t="str">
        <f>IFERROR(IF(AND(VLOOKUP($A31,打刻計算用!$C:$M,9,FALSE),VLOOKUP($A31,打刻計算用!$C:$M,11,FALSE)),"♡","☠"),"")</f>
        <v/>
      </c>
      <c r="AJ31" s="13" t="str">
        <f t="shared" si="16"/>
        <v/>
      </c>
      <c r="AK31" s="13"/>
      <c r="AL31" s="13"/>
      <c r="AM31" s="14"/>
      <c r="AO31" s="14"/>
      <c r="AP31" s="13"/>
      <c r="AQ31" s="14"/>
      <c r="AS31" s="14"/>
      <c r="AU31" s="14"/>
      <c r="AW31" s="14"/>
      <c r="BA31" s="52">
        <f t="shared" si="31"/>
        <v>0</v>
      </c>
      <c r="BB31" s="50" t="str">
        <f t="shared" si="32"/>
        <v/>
      </c>
      <c r="BC31" s="50" t="str">
        <f>IF($AG31="","",IF(OR($O31&lt;=$BC$1,$Q31=所属・拠点・確認内容!$D$7),0,$O31-$BC$1)+IF(OR($S31&gt;=$BC$2,$U31=所属・拠点・確認内容!$E$6),0,$BC$2-$S31)-BB31)</f>
        <v/>
      </c>
    </row>
    <row r="32" spans="1:55" ht="15" customHeight="1">
      <c r="A32" s="59"/>
      <c r="B32" s="91"/>
      <c r="C32" s="116" t="str">
        <f t="shared" si="43"/>
        <v/>
      </c>
      <c r="D32" s="60" t="str">
        <f t="shared" si="44"/>
        <v/>
      </c>
      <c r="E32" s="61" t="str">
        <f t="shared" si="19"/>
        <v/>
      </c>
      <c r="F32" s="61" t="str">
        <f t="shared" si="20"/>
        <v/>
      </c>
      <c r="G32" s="61" t="str">
        <f t="shared" si="21"/>
        <v/>
      </c>
      <c r="H32" s="61" t="str">
        <f t="shared" si="22"/>
        <v/>
      </c>
      <c r="I32" s="61" t="str">
        <f t="shared" si="23"/>
        <v/>
      </c>
      <c r="J32" s="62"/>
      <c r="K32" s="31" t="str">
        <f t="shared" si="45"/>
        <v/>
      </c>
      <c r="L32" s="62"/>
      <c r="M32" s="117" t="str">
        <f>IF(AND(SUM(AH32)&gt;0,C32="",L32="",Q32&lt;&gt;所属・拠点・確認内容!$D$7,U32&lt;&gt;所属・拠点・確認内容!$E$6),"！","")</f>
        <v/>
      </c>
      <c r="N32" s="113" t="str">
        <f>IF(OR(AN32="",AN32&amp;AO32&amp;AT32&amp;AU32="0000"),IFERROR(IF(VLOOKUP(A32,打刻計算用!C:E,2)="","",VLOOKUP(A32,打刻計算用!C:E,2,FALSE)),""),TIMEVALUE(AN32&amp;":"&amp;AO32))</f>
        <v/>
      </c>
      <c r="O32" s="103" t="str">
        <f t="shared" si="8"/>
        <v/>
      </c>
      <c r="P32" s="32" t="str">
        <f>IF(A32="","",IF(N32&gt;O32,"！",IF(AND(O32="",WEEKDAY(A32,2)&lt;=5,NOT(B32="祝日"),C32=""),"！",IF(AND(O32&lt;&gt;"",O32&lt;TIME(9,0,0),Q32&lt;&gt;所属・拠点・確認内容!$D$6,Q32&lt;&gt;所属・拠点・確認内容!$D$7,L32&lt;&gt;"在宅"),"！",IF(AND(O32&gt;$BC$1,SUM(AH32)&gt;0,L32="",Q32&lt;&gt;所属・拠点・確認内容!$D$5,Q32&lt;&gt;所属・拠点・確認内容!$D$7),"！","")))))</f>
        <v/>
      </c>
      <c r="Q32" s="125"/>
      <c r="R32" s="113" t="str">
        <f>IF(OR(AT32="",AN32&amp;AO32&amp;AT32&amp;AU32="0000"),IFERROR(IF(VLOOKUP(A32,打刻計算用!C:E,3,FALSE)="","",VLOOKUP(A32,打刻計算用!C:E,3,FALSE)),""),TIMEVALUE(AT32&amp;":"&amp;AU32))</f>
        <v/>
      </c>
      <c r="S32" s="103" t="str">
        <f t="shared" si="46"/>
        <v/>
      </c>
      <c r="T32" s="32" t="str">
        <f>IF(AND(R32="",S32&lt;&gt;""),"！",IF(R32&lt;S32,"！",IF(AND(O32&lt;&gt;"",S32=""),"！",IF(AND(S32&lt;&gt;"",S32&gt;TIME(20,0,0),U32&lt;&gt;所属・拠点・確認内容!$E$5,U32&lt;&gt;所属・拠点・確認内容!$E$6),"！",IF(AND(S32&lt;$BC$2,AH32&gt;0,AH32&lt;&gt;"",L32="",U32&lt;&gt;所属・拠点・確認内容!$E$6),"！","")))))</f>
        <v/>
      </c>
      <c r="U32" s="34"/>
      <c r="V32" s="73" t="str">
        <f t="shared" si="47"/>
        <v/>
      </c>
      <c r="W32" s="33" t="str">
        <f t="shared" si="48"/>
        <v/>
      </c>
      <c r="X32" s="104"/>
      <c r="Y32" s="72" t="str">
        <f t="shared" si="28"/>
        <v/>
      </c>
      <c r="Z32" s="72" t="str">
        <f>IF(OR(O32="",S32=""),"",MIN(MAX(S32-IF(Q32=所属・拠点・確認内容!$D$6,TIME(9,0,0),O32)-Y32-TIME(8,0,0),0),TIME(0,0,0)))</f>
        <v/>
      </c>
      <c r="AA32" s="72" t="str">
        <f t="shared" si="29"/>
        <v/>
      </c>
      <c r="AB32" s="75" t="e">
        <f>SUM($AG$6:AG32)</f>
        <v>#VALUE!</v>
      </c>
      <c r="AC32" s="60"/>
      <c r="AD32" s="76" t="str">
        <f t="shared" si="49"/>
        <v/>
      </c>
      <c r="AE32" s="76" t="str">
        <f t="shared" si="13"/>
        <v/>
      </c>
      <c r="AF32" s="76" t="str">
        <f t="shared" si="14"/>
        <v/>
      </c>
      <c r="AG32" s="75" t="str">
        <f t="shared" si="15"/>
        <v/>
      </c>
      <c r="AH32" s="75" t="str">
        <f t="shared" si="30"/>
        <v/>
      </c>
      <c r="AI32" s="85" t="str">
        <f>IFERROR(IF(AND(VLOOKUP($A32,打刻計算用!$C:$M,9,FALSE),VLOOKUP($A32,打刻計算用!$C:$M,11,FALSE)),"♡","☠"),"")</f>
        <v/>
      </c>
      <c r="AJ32" s="13" t="str">
        <f t="shared" si="16"/>
        <v/>
      </c>
      <c r="AK32" s="13"/>
      <c r="AL32" s="13"/>
      <c r="AM32" s="14"/>
      <c r="AO32" s="14"/>
      <c r="AP32" s="13"/>
      <c r="AQ32" s="14"/>
      <c r="AS32" s="14"/>
      <c r="AU32" s="14"/>
      <c r="AW32" s="14"/>
      <c r="BA32" s="52">
        <f t="shared" si="31"/>
        <v>0</v>
      </c>
      <c r="BB32" s="50" t="str">
        <f t="shared" si="32"/>
        <v/>
      </c>
      <c r="BC32" s="50" t="str">
        <f>IF($AG32="","",IF(OR($O32&lt;=$BC$1,$Q32=所属・拠点・確認内容!$D$7),0,$O32-$BC$1)+IF(OR($S32&gt;=$BC$2,$U32=所属・拠点・確認内容!$E$6),0,$BC$2-$S32)-BB32)</f>
        <v/>
      </c>
    </row>
    <row r="33" spans="1:55" ht="15" customHeight="1">
      <c r="A33" s="59"/>
      <c r="B33" s="91"/>
      <c r="C33" s="116"/>
      <c r="D33" s="60" t="str">
        <f t="shared" si="44"/>
        <v/>
      </c>
      <c r="E33" s="61" t="str">
        <f t="shared" si="19"/>
        <v/>
      </c>
      <c r="F33" s="61" t="str">
        <f t="shared" si="20"/>
        <v/>
      </c>
      <c r="G33" s="61" t="str">
        <f t="shared" si="21"/>
        <v/>
      </c>
      <c r="H33" s="61" t="str">
        <f t="shared" si="22"/>
        <v/>
      </c>
      <c r="I33" s="61" t="str">
        <f t="shared" si="23"/>
        <v/>
      </c>
      <c r="J33" s="62"/>
      <c r="K33" s="31" t="str">
        <f t="shared" si="45"/>
        <v/>
      </c>
      <c r="L33" s="62"/>
      <c r="M33" s="117" t="str">
        <f>IF(AND(SUM(AH33)&gt;0,C33="",L33="",Q33&lt;&gt;所属・拠点・確認内容!$D$7,U33&lt;&gt;所属・拠点・確認内容!$E$6),"！","")</f>
        <v/>
      </c>
      <c r="N33" s="113" t="str">
        <f>IF(OR(AN33="",AN33&amp;AO33&amp;AT33&amp;AU33="0000"),IFERROR(IF(VLOOKUP(A33,打刻計算用!C:E,2)="","",VLOOKUP(A33,打刻計算用!C:E,2,FALSE)),""),TIMEVALUE(AN33&amp;":"&amp;AO33))</f>
        <v/>
      </c>
      <c r="O33" s="103" t="str">
        <f t="shared" si="8"/>
        <v/>
      </c>
      <c r="P33" s="32" t="str">
        <f>IF(A33="","",IF(N33&gt;O33,"！",IF(AND(O33="",WEEKDAY(A33,2)&lt;=5,NOT(B33="祝日"),C33=""),"！",IF(AND(O33&lt;&gt;"",O33&lt;TIME(9,0,0),Q33&lt;&gt;所属・拠点・確認内容!$D$6,Q33&lt;&gt;所属・拠点・確認内容!$D$7,L33&lt;&gt;"在宅"),"！",IF(AND(O33&gt;$BC$1,SUM(AH33)&gt;0,L33="",Q33&lt;&gt;所属・拠点・確認内容!$D$5,Q33&lt;&gt;所属・拠点・確認内容!$D$7),"！","")))))</f>
        <v/>
      </c>
      <c r="Q33" s="125"/>
      <c r="R33" s="113" t="str">
        <f>IF(OR(AT33="",AN33&amp;AO33&amp;AT33&amp;AU33="0000"),IFERROR(IF(VLOOKUP(A33,打刻計算用!C:E,3,FALSE)="","",VLOOKUP(A33,打刻計算用!C:E,3,FALSE)),""),TIMEVALUE(AT33&amp;":"&amp;AU33))</f>
        <v/>
      </c>
      <c r="S33" s="103" t="str">
        <f t="shared" si="46"/>
        <v/>
      </c>
      <c r="T33" s="32" t="str">
        <f>IF(AND(R33="",S33&lt;&gt;""),"！",IF(R33&lt;S33,"！",IF(AND(O33&lt;&gt;"",S33=""),"！",IF(AND(S33&lt;&gt;"",S33&gt;TIME(20,0,0),U33&lt;&gt;所属・拠点・確認内容!$E$5,U33&lt;&gt;所属・拠点・確認内容!$E$6),"！",IF(AND(S33&lt;$BC$2,AH33&gt;0,AH33&lt;&gt;"",L33="",U33&lt;&gt;所属・拠点・確認内容!$E$6),"！","")))))</f>
        <v/>
      </c>
      <c r="U33" s="34"/>
      <c r="V33" s="73" t="str">
        <f t="shared" si="47"/>
        <v/>
      </c>
      <c r="W33" s="33" t="str">
        <f t="shared" si="48"/>
        <v/>
      </c>
      <c r="X33" s="104"/>
      <c r="Y33" s="72" t="str">
        <f t="shared" si="28"/>
        <v/>
      </c>
      <c r="Z33" s="72" t="str">
        <f>IF(OR(O33="",S33=""),"",MIN(MAX(S33-IF(Q33=所属・拠点・確認内容!$D$6,TIME(9,0,0),O33)-Y33-TIME(8,0,0),0),TIME(0,0,0)))</f>
        <v/>
      </c>
      <c r="AA33" s="72" t="str">
        <f t="shared" si="29"/>
        <v/>
      </c>
      <c r="AB33" s="75" t="e">
        <f>SUM($AG$6:AG33)</f>
        <v>#VALUE!</v>
      </c>
      <c r="AC33" s="60"/>
      <c r="AD33" s="76" t="str">
        <f t="shared" si="49"/>
        <v/>
      </c>
      <c r="AE33" s="76" t="str">
        <f t="shared" si="13"/>
        <v/>
      </c>
      <c r="AF33" s="76" t="str">
        <f t="shared" si="14"/>
        <v/>
      </c>
      <c r="AG33" s="75" t="str">
        <f t="shared" si="15"/>
        <v/>
      </c>
      <c r="AH33" s="75" t="str">
        <f t="shared" si="30"/>
        <v/>
      </c>
      <c r="AI33" s="85" t="str">
        <f>IFERROR(IF(AND(VLOOKUP($A33,打刻計算用!$C:$M,9,FALSE),VLOOKUP($A33,打刻計算用!$C:$M,11,FALSE)),"♡","☠"),"")</f>
        <v/>
      </c>
      <c r="AJ33" s="13" t="str">
        <f t="shared" si="16"/>
        <v/>
      </c>
      <c r="AK33" s="13"/>
      <c r="AL33" s="13"/>
      <c r="AM33" s="14"/>
      <c r="AO33" s="14"/>
      <c r="AP33" s="13"/>
      <c r="AQ33" s="14"/>
      <c r="AS33" s="14"/>
      <c r="AU33" s="14"/>
      <c r="AW33" s="14"/>
      <c r="BA33" s="52">
        <f t="shared" si="31"/>
        <v>0</v>
      </c>
      <c r="BB33" s="50" t="str">
        <f t="shared" si="32"/>
        <v/>
      </c>
      <c r="BC33" s="50" t="str">
        <f>IF($AG33="","",IF(OR($O33&lt;=$BC$1,$Q33=所属・拠点・確認内容!$D$7),0,$O33-$BC$1)+IF(OR($S33&gt;=$BC$2,$U33=所属・拠点・確認内容!$E$6),0,$BC$2-$S33)-BB33)</f>
        <v/>
      </c>
    </row>
    <row r="34" spans="1:55" ht="15" customHeight="1">
      <c r="A34" s="59"/>
      <c r="B34" s="91"/>
      <c r="C34" s="116" t="str">
        <f t="shared" si="43"/>
        <v/>
      </c>
      <c r="D34" s="60" t="str">
        <f t="shared" si="44"/>
        <v/>
      </c>
      <c r="E34" s="61" t="str">
        <f t="shared" si="19"/>
        <v/>
      </c>
      <c r="F34" s="61" t="str">
        <f t="shared" si="20"/>
        <v/>
      </c>
      <c r="G34" s="61" t="str">
        <f t="shared" si="21"/>
        <v/>
      </c>
      <c r="H34" s="61" t="str">
        <f t="shared" si="22"/>
        <v/>
      </c>
      <c r="I34" s="61" t="str">
        <f t="shared" si="23"/>
        <v/>
      </c>
      <c r="J34" s="62"/>
      <c r="K34" s="31" t="str">
        <f t="shared" si="45"/>
        <v/>
      </c>
      <c r="L34" s="62"/>
      <c r="M34" s="117" t="str">
        <f>IF(AND(SUM(AH34)&gt;0,C34="",L34="",Q34&lt;&gt;所属・拠点・確認内容!$D$7,U34&lt;&gt;所属・拠点・確認内容!$E$6),"！","")</f>
        <v/>
      </c>
      <c r="N34" s="113" t="str">
        <f>IF(OR(AN34="",AN34&amp;AO34&amp;AT34&amp;AU34="0000"),IFERROR(IF(VLOOKUP(A34,打刻計算用!C:E,2)="","",VLOOKUP(A34,打刻計算用!C:E,2,FALSE)),""),TIMEVALUE(AN34&amp;":"&amp;AO34))</f>
        <v/>
      </c>
      <c r="O34" s="103" t="str">
        <f t="shared" si="8"/>
        <v/>
      </c>
      <c r="P34" s="32" t="str">
        <f>IF(A34="","",IF(N34&gt;O34,"！",IF(AND(O34="",WEEKDAY(A34,2)&lt;=5,NOT(B34="祝日"),C34=""),"！",IF(AND(O34&lt;&gt;"",O34&lt;TIME(9,0,0),Q34&lt;&gt;所属・拠点・確認内容!$D$6,Q34&lt;&gt;所属・拠点・確認内容!$D$7,L34&lt;&gt;"在宅"),"！",IF(AND(O34&gt;$BC$1,SUM(AH34)&gt;0,L34="",Q34&lt;&gt;所属・拠点・確認内容!$D$5,Q34&lt;&gt;所属・拠点・確認内容!$D$7),"！","")))))</f>
        <v/>
      </c>
      <c r="Q34" s="125"/>
      <c r="R34" s="113" t="str">
        <f>IF(OR(AT34="",AN34&amp;AO34&amp;AT34&amp;AU34="0000"),IFERROR(IF(VLOOKUP(A34,打刻計算用!C:E,3,FALSE)="","",VLOOKUP(A34,打刻計算用!C:E,3,FALSE)),""),TIMEVALUE(AT34&amp;":"&amp;AU34))</f>
        <v/>
      </c>
      <c r="S34" s="103" t="str">
        <f t="shared" si="46"/>
        <v/>
      </c>
      <c r="T34" s="32" t="str">
        <f>IF(AND(R34="",S34&lt;&gt;""),"！",IF(R34&lt;S34,"！",IF(AND(O34&lt;&gt;"",S34=""),"！",IF(AND(S34&lt;&gt;"",S34&gt;TIME(20,0,0),U34&lt;&gt;所属・拠点・確認内容!$E$5,U34&lt;&gt;所属・拠点・確認内容!$E$6),"！",IF(AND(S34&lt;$BC$2,AH34&gt;0,AH34&lt;&gt;"",L34="",U34&lt;&gt;所属・拠点・確認内容!$E$6),"！","")))))</f>
        <v/>
      </c>
      <c r="U34" s="34"/>
      <c r="V34" s="73" t="str">
        <f t="shared" si="47"/>
        <v/>
      </c>
      <c r="W34" s="33" t="str">
        <f t="shared" si="48"/>
        <v/>
      </c>
      <c r="X34" s="104"/>
      <c r="Y34" s="72" t="str">
        <f t="shared" si="28"/>
        <v/>
      </c>
      <c r="Z34" s="72" t="str">
        <f>IF(OR(O34="",S34=""),"",MIN(MAX(S34-IF(Q34=所属・拠点・確認内容!$D$6,TIME(9,0,0),O34)-Y34-TIME(8,0,0),0),TIME(0,0,0)))</f>
        <v/>
      </c>
      <c r="AA34" s="72" t="str">
        <f t="shared" si="29"/>
        <v/>
      </c>
      <c r="AB34" s="75" t="e">
        <f>SUM($AG$6:AG34)</f>
        <v>#VALUE!</v>
      </c>
      <c r="AC34" s="60"/>
      <c r="AD34" s="76" t="str">
        <f t="shared" si="49"/>
        <v/>
      </c>
      <c r="AE34" s="76" t="str">
        <f t="shared" si="13"/>
        <v/>
      </c>
      <c r="AF34" s="76" t="str">
        <f t="shared" si="14"/>
        <v/>
      </c>
      <c r="AG34" s="75" t="str">
        <f t="shared" si="15"/>
        <v/>
      </c>
      <c r="AH34" s="75" t="str">
        <f t="shared" si="30"/>
        <v/>
      </c>
      <c r="AI34" s="85" t="str">
        <f>IFERROR(IF(AND(VLOOKUP($A34,打刻計算用!$C:$M,9,FALSE),VLOOKUP($A34,打刻計算用!$C:$M,11,FALSE)),"♡","☠"),"")</f>
        <v/>
      </c>
      <c r="AJ34" s="13" t="str">
        <f t="shared" si="16"/>
        <v/>
      </c>
      <c r="AK34" s="13"/>
      <c r="AL34" s="13"/>
      <c r="AM34" s="14"/>
      <c r="AO34" s="14"/>
      <c r="AP34" s="13"/>
      <c r="AQ34" s="14"/>
      <c r="AS34" s="14"/>
      <c r="AU34" s="14"/>
      <c r="AW34" s="14"/>
      <c r="BA34" s="52">
        <f t="shared" si="31"/>
        <v>0</v>
      </c>
      <c r="BB34" s="50" t="str">
        <f t="shared" si="32"/>
        <v/>
      </c>
      <c r="BC34" s="50" t="str">
        <f>IF($AG34="","",IF(OR($O34&lt;=$BC$1,$Q34=所属・拠点・確認内容!$D$7),0,$O34-$BC$1)+IF(OR($S34&gt;=$BC$2,$U34=所属・拠点・確認内容!$E$6),0,$BC$2-$S34)-BB34)</f>
        <v/>
      </c>
    </row>
    <row r="35" spans="1:55" ht="15" customHeight="1">
      <c r="A35" s="59"/>
      <c r="B35" s="91"/>
      <c r="C35" s="116" t="str">
        <f t="shared" si="43"/>
        <v/>
      </c>
      <c r="D35" s="60" t="str">
        <f t="shared" si="44"/>
        <v/>
      </c>
      <c r="E35" s="61" t="str">
        <f t="shared" si="19"/>
        <v/>
      </c>
      <c r="F35" s="61" t="str">
        <f t="shared" si="20"/>
        <v/>
      </c>
      <c r="G35" s="61" t="str">
        <f t="shared" si="21"/>
        <v/>
      </c>
      <c r="H35" s="61" t="str">
        <f t="shared" si="22"/>
        <v/>
      </c>
      <c r="I35" s="61" t="str">
        <f t="shared" si="23"/>
        <v/>
      </c>
      <c r="J35" s="62"/>
      <c r="K35" s="31" t="str">
        <f t="shared" si="45"/>
        <v/>
      </c>
      <c r="L35" s="62"/>
      <c r="M35" s="117" t="str">
        <f>IF(AND(SUM(AH35)&gt;0,C35="",L35="",Q35&lt;&gt;所属・拠点・確認内容!$D$7,U35&lt;&gt;所属・拠点・確認内容!$E$6),"！","")</f>
        <v/>
      </c>
      <c r="N35" s="113" t="str">
        <f>IF(OR(AN35="",AN35&amp;AO35&amp;AT35&amp;AU35="0000"),IFERROR(IF(VLOOKUP(A35,打刻計算用!C:E,2)="","",VLOOKUP(A35,打刻計算用!C:E,2,FALSE)),""),TIMEVALUE(AN35&amp;":"&amp;AO35))</f>
        <v/>
      </c>
      <c r="O35" s="103" t="str">
        <f t="shared" si="8"/>
        <v/>
      </c>
      <c r="P35" s="32" t="str">
        <f>IF(A35="","",IF(N35&gt;O35,"！",IF(AND(O35="",WEEKDAY(A35,2)&lt;=5,NOT(B35="祝日"),C35=""),"！",IF(AND(O35&lt;&gt;"",O35&lt;TIME(9,0,0),Q35&lt;&gt;所属・拠点・確認内容!$D$6,Q35&lt;&gt;所属・拠点・確認内容!$D$7,L35&lt;&gt;"在宅"),"！",IF(AND(O35&gt;$BC$1,SUM(AH35)&gt;0,L35="",Q35&lt;&gt;所属・拠点・確認内容!$D$5,Q35&lt;&gt;所属・拠点・確認内容!$D$7),"！","")))))</f>
        <v/>
      </c>
      <c r="Q35" s="125"/>
      <c r="R35" s="113" t="str">
        <f>IF(OR(AT35="",AN35&amp;AO35&amp;AT35&amp;AU35="0000"),IFERROR(IF(VLOOKUP(A35,打刻計算用!C:E,3,FALSE)="","",VLOOKUP(A35,打刻計算用!C:E,3,FALSE)),""),TIMEVALUE(AT35&amp;":"&amp;AU35))</f>
        <v/>
      </c>
      <c r="S35" s="103" t="str">
        <f t="shared" si="46"/>
        <v/>
      </c>
      <c r="T35" s="32" t="str">
        <f>IF(AND(R35="",S35&lt;&gt;""),"！",IF(R35&lt;S35,"！",IF(AND(O35&lt;&gt;"",S35=""),"！",IF(AND(S35&lt;&gt;"",S35&gt;TIME(20,0,0),U35&lt;&gt;所属・拠点・確認内容!$E$5,U35&lt;&gt;所属・拠点・確認内容!$E$6),"！",IF(AND(S35&lt;$BC$2,AH35&gt;0,AH35&lt;&gt;"",L35="",U35&lt;&gt;所属・拠点・確認内容!$E$6),"！","")))))</f>
        <v/>
      </c>
      <c r="U35" s="34"/>
      <c r="V35" s="73" t="str">
        <f t="shared" si="47"/>
        <v/>
      </c>
      <c r="W35" s="33" t="str">
        <f t="shared" si="48"/>
        <v/>
      </c>
      <c r="X35" s="104"/>
      <c r="Y35" s="72" t="str">
        <f t="shared" si="28"/>
        <v/>
      </c>
      <c r="Z35" s="72" t="str">
        <f>IF(OR(O35="",S35=""),"",MIN(MAX(S35-IF(Q35=所属・拠点・確認内容!$D$6,TIME(9,0,0),O35)-Y35-TIME(8,0,0),0),TIME(0,0,0)))</f>
        <v/>
      </c>
      <c r="AA35" s="72" t="str">
        <f t="shared" si="29"/>
        <v/>
      </c>
      <c r="AB35" s="75" t="e">
        <f>SUM($AG$6:AG35)</f>
        <v>#VALUE!</v>
      </c>
      <c r="AC35" s="60"/>
      <c r="AD35" s="76" t="str">
        <f t="shared" si="49"/>
        <v/>
      </c>
      <c r="AE35" s="76" t="str">
        <f t="shared" si="13"/>
        <v/>
      </c>
      <c r="AF35" s="76" t="str">
        <f t="shared" si="14"/>
        <v/>
      </c>
      <c r="AG35" s="75" t="str">
        <f t="shared" si="15"/>
        <v/>
      </c>
      <c r="AH35" s="75" t="str">
        <f t="shared" si="30"/>
        <v/>
      </c>
      <c r="AI35" s="85" t="str">
        <f>IFERROR(IF(AND(VLOOKUP($A35,打刻計算用!$C:$M,9,FALSE),VLOOKUP($A35,打刻計算用!$C:$M,11,FALSE)),"♡","☠"),"")</f>
        <v/>
      </c>
      <c r="AJ35" s="13" t="str">
        <f t="shared" si="16"/>
        <v/>
      </c>
      <c r="AK35" s="13"/>
      <c r="AL35" s="13"/>
      <c r="AM35" s="14"/>
      <c r="AO35" s="14"/>
      <c r="AP35" s="13"/>
      <c r="AQ35" s="14"/>
      <c r="AS35" s="14"/>
      <c r="AU35" s="14"/>
      <c r="AW35" s="14"/>
      <c r="BA35" s="52">
        <f t="shared" si="31"/>
        <v>0</v>
      </c>
      <c r="BB35" s="50" t="str">
        <f t="shared" si="32"/>
        <v/>
      </c>
      <c r="BC35" s="50" t="str">
        <f>IF($AG35="","",IF(OR($O35&lt;=$BC$1,$Q35=所属・拠点・確認内容!$D$7),0,$O35-$BC$1)+IF(OR($S35&gt;=$BC$2,$U35=所属・拠点・確認内容!$E$6),0,$BC$2-$S35)-BB35)</f>
        <v/>
      </c>
    </row>
    <row r="36" spans="1:55" ht="15" customHeight="1" thickBot="1">
      <c r="A36" s="63"/>
      <c r="B36" s="92"/>
      <c r="C36" s="118" t="str">
        <f t="shared" si="43"/>
        <v/>
      </c>
      <c r="D36" s="119" t="str">
        <f t="shared" si="44"/>
        <v/>
      </c>
      <c r="E36" s="120" t="str">
        <f t="shared" si="19"/>
        <v/>
      </c>
      <c r="F36" s="120" t="str">
        <f t="shared" si="20"/>
        <v/>
      </c>
      <c r="G36" s="120" t="str">
        <f t="shared" si="21"/>
        <v/>
      </c>
      <c r="H36" s="120" t="str">
        <f t="shared" si="22"/>
        <v/>
      </c>
      <c r="I36" s="120" t="str">
        <f t="shared" si="23"/>
        <v/>
      </c>
      <c r="J36" s="121"/>
      <c r="K36" s="122" t="str">
        <f t="shared" si="45"/>
        <v/>
      </c>
      <c r="L36" s="121"/>
      <c r="M36" s="123" t="str">
        <f>IF(AND(SUM(AH36)&gt;0,C36="",L36="",Q36&lt;&gt;所属・拠点・確認内容!$D$7,U36&lt;&gt;所属・拠点・確認内容!$E$6),"！","")</f>
        <v/>
      </c>
      <c r="N36" s="114" t="str">
        <f>IF(OR(AN36="",AN36&amp;AO36&amp;AT36&amp;AU36="0000"),IFERROR(IF(VLOOKUP(A36,打刻計算用!C:E,2)="","",VLOOKUP(A36,打刻計算用!C:E,2,FALSE)),""),TIMEVALUE(AN36&amp;":"&amp;AO36))</f>
        <v/>
      </c>
      <c r="O36" s="105" t="str">
        <f t="shared" si="8"/>
        <v/>
      </c>
      <c r="P36" s="106" t="str">
        <f>IF(A36="","",IF(N36&gt;O36,"！",IF(AND(O36="",WEEKDAY(A36,2)&lt;=5,NOT(B36="祝日"),C36=""),"！",IF(AND(O36&lt;&gt;"",O36&lt;TIME(9,0,0),Q36&lt;&gt;所属・拠点・確認内容!$D$6,Q36&lt;&gt;所属・拠点・確認内容!$D$7,L36&lt;&gt;"在宅"),"！",IF(AND(O36&gt;$BC$1,SUM(AH36)&gt;0,L36="",Q36&lt;&gt;所属・拠点・確認内容!$D$5,Q36&lt;&gt;所属・拠点・確認内容!$D$7),"！","")))))</f>
        <v/>
      </c>
      <c r="Q36" s="126"/>
      <c r="R36" s="114" t="str">
        <f>IF(OR(AT36="",AN36&amp;AO36&amp;AT36&amp;AU36="0000"),IFERROR(IF(VLOOKUP(A36,打刻計算用!C:E,3,FALSE)="","",VLOOKUP(A36,打刻計算用!C:E,3,FALSE)),""),TIMEVALUE(AT36&amp;":"&amp;AU36))</f>
        <v/>
      </c>
      <c r="S36" s="105" t="str">
        <f t="shared" si="46"/>
        <v/>
      </c>
      <c r="T36" s="106" t="str">
        <f>IF(AND(R36="",S36&lt;&gt;""),"！",IF(R36&lt;S36,"！",IF(AND(O36&lt;&gt;"",S36=""),"！",IF(AND(S36&lt;&gt;"",S36&gt;TIME(20,0,0),U36&lt;&gt;所属・拠点・確認内容!$E$5,U36&lt;&gt;所属・拠点・確認内容!$E$6),"！",IF(AND(S36&lt;$BC$2,AH36&gt;0,AH36&lt;&gt;"",L36="",U36&lt;&gt;所属・拠点・確認内容!$E$6),"！","")))))</f>
        <v/>
      </c>
      <c r="U36" s="107"/>
      <c r="V36" s="108" t="str">
        <f t="shared" si="47"/>
        <v/>
      </c>
      <c r="W36" s="109" t="str">
        <f t="shared" si="48"/>
        <v/>
      </c>
      <c r="X36" s="110"/>
      <c r="Y36" s="74" t="str">
        <f t="shared" si="28"/>
        <v/>
      </c>
      <c r="Z36" s="74" t="str">
        <f>IF(OR(O36="",S36=""),"",MIN(MAX(S36-IF(Q36=所属・拠点・確認内容!$D$6,TIME(9,0,0),O36)-Y36-TIME(8,0,0),0),TIME(0,0,0)))</f>
        <v/>
      </c>
      <c r="AA36" s="74" t="str">
        <f t="shared" si="29"/>
        <v/>
      </c>
      <c r="AB36" s="77" t="e">
        <f>SUM($AG$6:AG36)</f>
        <v>#VALUE!</v>
      </c>
      <c r="AC36" s="64"/>
      <c r="AD36" s="78" t="str">
        <f t="shared" si="49"/>
        <v/>
      </c>
      <c r="AE36" s="78" t="str">
        <f t="shared" si="13"/>
        <v/>
      </c>
      <c r="AF36" s="78" t="str">
        <f t="shared" si="14"/>
        <v/>
      </c>
      <c r="AG36" s="77" t="str">
        <f t="shared" si="15"/>
        <v/>
      </c>
      <c r="AH36" s="79" t="str">
        <f t="shared" si="30"/>
        <v/>
      </c>
      <c r="AI36" s="85" t="str">
        <f>IFERROR(IF(AND(VLOOKUP($A36,打刻計算用!$C:$M,9,FALSE),VLOOKUP($A36,打刻計算用!$C:$M,11,FALSE)),"♡","☠"),"")</f>
        <v/>
      </c>
      <c r="AJ36" s="13" t="str">
        <f t="shared" si="16"/>
        <v/>
      </c>
      <c r="AK36" s="13"/>
      <c r="AL36" s="13"/>
      <c r="AM36" s="14"/>
      <c r="AO36" s="14"/>
      <c r="AP36" s="13"/>
      <c r="AQ36" s="14"/>
      <c r="AS36" s="14"/>
      <c r="AU36" s="14"/>
      <c r="AW36" s="14"/>
      <c r="BA36" s="52">
        <f t="shared" si="31"/>
        <v>0</v>
      </c>
      <c r="BB36" s="50" t="str">
        <f t="shared" si="32"/>
        <v/>
      </c>
      <c r="BC36" s="50" t="str">
        <f>IF($AG36="","",IF(OR($O36&lt;=$BC$1,$Q36=所属・拠点・確認内容!$D$7),0,$O36-$BC$1)+IF(OR($S36&gt;=$BC$2,$U36=所属・拠点・確認内容!$E$6),0,$BC$2-$S36)-BB36)</f>
        <v/>
      </c>
    </row>
    <row r="37" spans="1:55" ht="15" customHeight="1" thickTop="1">
      <c r="A37" s="65" t="s">
        <v>19</v>
      </c>
      <c r="B37" s="66"/>
      <c r="C37" s="93"/>
      <c r="D37" s="94">
        <f>E37+F37</f>
        <v>0</v>
      </c>
      <c r="E37" s="95">
        <f>SUM(E6:E36)</f>
        <v>0</v>
      </c>
      <c r="F37" s="95">
        <f>SUM(F6:F36)</f>
        <v>0</v>
      </c>
      <c r="G37" s="95">
        <f>SUM(G6:G36)</f>
        <v>0</v>
      </c>
      <c r="H37" s="95">
        <f>SUM(H6:H36)</f>
        <v>0</v>
      </c>
      <c r="I37" s="95"/>
      <c r="J37" s="94">
        <f>G37+H37</f>
        <v>0</v>
      </c>
      <c r="K37" s="96"/>
      <c r="L37" s="97"/>
      <c r="M37" s="96"/>
      <c r="N37" s="101"/>
      <c r="O37" s="97"/>
      <c r="P37" s="98"/>
      <c r="Q37" s="99"/>
      <c r="R37" s="101"/>
      <c r="S37" s="97"/>
      <c r="T37" s="98"/>
      <c r="U37" s="100"/>
      <c r="V37" s="97"/>
      <c r="W37" s="97"/>
      <c r="X37" s="94"/>
      <c r="Y37" s="67"/>
      <c r="Z37" s="67"/>
      <c r="AA37" s="67"/>
      <c r="AB37" s="67"/>
      <c r="AC37" s="67"/>
      <c r="AD37" s="80" t="e">
        <f>FLOOR(SUM(AD6:AD36),"0:10")</f>
        <v>#VALUE!</v>
      </c>
      <c r="AE37" s="80" t="e">
        <f t="shared" ref="AE37:AG37" si="50">FLOOR(SUM(AE6:AE36),"0:10")</f>
        <v>#VALUE!</v>
      </c>
      <c r="AF37" s="80" t="e">
        <f t="shared" si="50"/>
        <v>#VALUE!</v>
      </c>
      <c r="AG37" s="43" t="e">
        <f t="shared" si="50"/>
        <v>#VALUE!</v>
      </c>
      <c r="AH37" s="80" t="e">
        <f>CEILING(SUM(AH6:AH36),"0:10")</f>
        <v>#VALUE!</v>
      </c>
      <c r="BA37" s="45" t="e">
        <f>SUM(BA6:BA36)</f>
        <v>#VALUE!</v>
      </c>
    </row>
    <row r="38" spans="1:55" ht="21" customHeight="1">
      <c r="A38" s="68"/>
      <c r="B38" s="68"/>
      <c r="C38" s="69"/>
      <c r="D38" s="69"/>
      <c r="E38" s="69"/>
      <c r="F38" s="69"/>
      <c r="G38" s="69"/>
      <c r="H38" s="69"/>
      <c r="I38" s="70">
        <f>SUM(I6:I36)</f>
        <v>0</v>
      </c>
      <c r="J38" s="71">
        <f>I38</f>
        <v>0</v>
      </c>
      <c r="K38" s="39" t="s">
        <v>60</v>
      </c>
      <c r="L38" s="38"/>
      <c r="M38" s="39"/>
      <c r="R38" s="151" t="s">
        <v>77</v>
      </c>
      <c r="S38" s="134"/>
      <c r="T38" s="134"/>
      <c r="U38" s="135"/>
      <c r="V38" s="152" t="e">
        <f>TIME($A$1,0,0)*$BA$37</f>
        <v>#VALUE!</v>
      </c>
      <c r="W38" s="153"/>
      <c r="AD38" s="133" t="s">
        <v>75</v>
      </c>
      <c r="AE38" s="133"/>
      <c r="AF38" s="150"/>
      <c r="AG38" s="44" t="e">
        <f>SUM(AG37,D37,J37)-J38</f>
        <v>#VALUE!</v>
      </c>
      <c r="AH38" s="45"/>
      <c r="AJ38" s="13"/>
      <c r="AK38" s="13"/>
      <c r="AL38" s="13"/>
      <c r="AP38" s="13"/>
      <c r="BA38" s="45">
        <f>COUNTIF(R:R,"欠勤")</f>
        <v>0</v>
      </c>
    </row>
    <row r="39" spans="1:55" ht="14.25" customHeight="1" thickBot="1">
      <c r="N39" s="15"/>
      <c r="P39" s="19"/>
      <c r="R39" s="133" t="s">
        <v>78</v>
      </c>
      <c r="S39" s="134"/>
      <c r="T39" s="134"/>
      <c r="U39" s="135"/>
      <c r="V39" s="136" t="e">
        <f>IF(AG38+AH37&gt;V38,0,V38-AG38-AH37)</f>
        <v>#VALUE!</v>
      </c>
      <c r="W39" s="137"/>
      <c r="AD39" s="46"/>
      <c r="AE39" s="147"/>
      <c r="AF39" s="148"/>
      <c r="AG39" s="47"/>
      <c r="AH39" s="46"/>
      <c r="BA39" s="46"/>
    </row>
    <row r="40" spans="1:55" ht="14.25" customHeight="1" thickTop="1" thickBot="1">
      <c r="A40" s="57">
        <v>43966</v>
      </c>
      <c r="J40" s="138" t="s">
        <v>79</v>
      </c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40"/>
      <c r="V40" s="141"/>
      <c r="W40" s="142"/>
      <c r="AD40" s="130" t="s">
        <v>76</v>
      </c>
      <c r="AE40" s="131"/>
      <c r="AF40" s="132"/>
      <c r="AG40" s="89" t="e">
        <f>AG38+V40</f>
        <v>#VALUE!</v>
      </c>
      <c r="AH40" s="48" t="e">
        <f>IF(V39&gt;V40,V39-V40,0)+AH37</f>
        <v>#VALUE!</v>
      </c>
    </row>
  </sheetData>
  <sheetProtection algorithmName="SHA-512" hashValue="ChYjmj+qV7NAsJLBRIFHlZ1GmdNtvn3lPXEbzoJUg8Ean2wytqhPB+xYWZIFyAfSZ4/qqSSsY572SrUy/1tG5Q==" saltValue="vIapGtyjdJz6q6ubm7RE6g==" spinCount="100000" sheet="1" selectLockedCells="1"/>
  <mergeCells count="34">
    <mergeCell ref="A1:B1"/>
    <mergeCell ref="C4:M4"/>
    <mergeCell ref="O4:Q4"/>
    <mergeCell ref="S4:X4"/>
    <mergeCell ref="S1:U1"/>
    <mergeCell ref="W1:X1"/>
    <mergeCell ref="S3:U3"/>
    <mergeCell ref="W3:X3"/>
    <mergeCell ref="O1:R1"/>
    <mergeCell ref="O2:P2"/>
    <mergeCell ref="D1:M2"/>
    <mergeCell ref="J3:M3"/>
    <mergeCell ref="L5:M5"/>
    <mergeCell ref="O5:P5"/>
    <mergeCell ref="S5:T5"/>
    <mergeCell ref="V5:W5"/>
    <mergeCell ref="A4:B5"/>
    <mergeCell ref="J5:K5"/>
    <mergeCell ref="AE1:AF1"/>
    <mergeCell ref="S2:U2"/>
    <mergeCell ref="W2:X2"/>
    <mergeCell ref="AE2:AF2"/>
    <mergeCell ref="AE39:AF39"/>
    <mergeCell ref="AD4:AG4"/>
    <mergeCell ref="AD38:AF38"/>
    <mergeCell ref="R38:U38"/>
    <mergeCell ref="V38:W38"/>
    <mergeCell ref="O3:R3"/>
    <mergeCell ref="AE3:AF3"/>
    <mergeCell ref="AD40:AF40"/>
    <mergeCell ref="R39:U39"/>
    <mergeCell ref="V39:W39"/>
    <mergeCell ref="J40:U40"/>
    <mergeCell ref="V40:W40"/>
  </mergeCells>
  <phoneticPr fontId="1"/>
  <conditionalFormatting sqref="K6:K36 M6:M36 P6:P36 T6:T36 M6:M36">
    <cfRule type="cellIs" dxfId="15" priority="15" operator="equal">
      <formula>"！"</formula>
    </cfRule>
  </conditionalFormatting>
  <conditionalFormatting sqref="A35:I36 L35:AH36">
    <cfRule type="expression" dxfId="14" priority="14">
      <formula>$A35=""</formula>
    </cfRule>
  </conditionalFormatting>
  <conditionalFormatting sqref="W6:W36">
    <cfRule type="cellIs" dxfId="13" priority="13" operator="equal">
      <formula>"！"</formula>
    </cfRule>
  </conditionalFormatting>
  <conditionalFormatting sqref="L6:AH36 A6:I36">
    <cfRule type="expression" dxfId="12" priority="16">
      <formula>$B6="祝日"</formula>
    </cfRule>
    <cfRule type="expression" dxfId="11" priority="17">
      <formula>WEEKDAY($A6)=1</formula>
    </cfRule>
    <cfRule type="expression" dxfId="10" priority="18">
      <formula>WEEKDAY($A6)=7</formula>
    </cfRule>
  </conditionalFormatting>
  <conditionalFormatting sqref="J35:K36">
    <cfRule type="expression" dxfId="9" priority="8">
      <formula>$A35=""</formula>
    </cfRule>
  </conditionalFormatting>
  <conditionalFormatting sqref="J6:K36">
    <cfRule type="expression" dxfId="8" priority="10">
      <formula>$B6="祝日"</formula>
    </cfRule>
    <cfRule type="expression" dxfId="7" priority="11">
      <formula>WEEKDAY($A6)=1</formula>
    </cfRule>
    <cfRule type="expression" dxfId="6" priority="12">
      <formula>WEEKDAY($A6)=7</formula>
    </cfRule>
  </conditionalFormatting>
  <conditionalFormatting sqref="V40">
    <cfRule type="expression" dxfId="5" priority="7">
      <formula>OR(HOUR($V$40)&lt;HOUR($V$39),AND(HOUR($V$40)=HOUR($V$39),MINUTE($V$40)&lt;MINUTE($V$39)))</formula>
    </cfRule>
  </conditionalFormatting>
  <conditionalFormatting sqref="J3">
    <cfRule type="containsBlanks" dxfId="4" priority="3">
      <formula>LEN(TRIM(J3))=0</formula>
    </cfRule>
  </conditionalFormatting>
  <conditionalFormatting sqref="O2:R2">
    <cfRule type="containsBlanks" dxfId="3" priority="5">
      <formula>LEN(TRIM(O2))=0</formula>
    </cfRule>
  </conditionalFormatting>
  <conditionalFormatting sqref="N2">
    <cfRule type="containsBlanks" dxfId="2" priority="4">
      <formula>LEN(TRIM(N2))=0</formula>
    </cfRule>
  </conditionalFormatting>
  <conditionalFormatting sqref="AI6:AI36">
    <cfRule type="cellIs" dxfId="1" priority="1" operator="equal">
      <formula>"☠"</formula>
    </cfRule>
    <cfRule type="cellIs" dxfId="0" priority="2" operator="equal">
      <formula>"♡"</formula>
    </cfRule>
  </conditionalFormatting>
  <dataValidations count="8">
    <dataValidation type="list" allowBlank="1" showInputMessage="1" sqref="C6:C36" xr:uid="{00000000-0002-0000-0000-000002000000}">
      <formula1>"欠勤控除,有休,1h有休,2h有休,3h有休,4h有休,5h有休,6h有休,7h有休,振休,1h振休,2h振休,3h振休,4h振休,5h振休,6h振休,7h振休,慶弔,記念日休暇,夏期休暇,冬期休暇"</formula1>
    </dataValidation>
    <dataValidation type="list" allowBlank="1" showInputMessage="1" sqref="J6:J36" xr:uid="{00000000-0002-0000-0000-000003000000}">
      <formula1>"残業,振休,半振休"</formula1>
    </dataValidation>
    <dataValidation type="time" allowBlank="1" showInputMessage="1" showErrorMessage="1" error="10分単位で入力してください。" sqref="O6:O36 S6:S36" xr:uid="{00000000-0002-0000-0000-000004000000}">
      <formula1>0.208333333333333</formula1>
      <formula2>"20:00"+"9:00"</formula2>
    </dataValidation>
    <dataValidation type="time" operator="greaterThanOrEqual" allowBlank="1" showInputMessage="1" showErrorMessage="1" error="10分単位で入力してください。" sqref="V6:V36" xr:uid="{00000000-0002-0000-0000-000006000000}">
      <formula1>0</formula1>
    </dataValidation>
    <dataValidation type="list" allowBlank="1" showInputMessage="1" sqref="L6:L36" xr:uid="{07D9F7FD-D2E7-46A5-9CE1-A5263D484CDB}">
      <formula1>"控除,在宅"</formula1>
    </dataValidation>
    <dataValidation type="custom" allowBlank="1" showInputMessage="1" showErrorMessage="1" sqref="V40" xr:uid="{20D02B19-1E3C-4770-97C0-83C01C0CF6AE}">
      <formula1>AND($V$40&gt;=0,MINUTE($V$40)=0,SECOND($V$40)=0)</formula1>
    </dataValidation>
    <dataValidation type="list" allowBlank="1" showInputMessage="1" showErrorMessage="1" sqref="R2" xr:uid="{D69E1D59-9711-4288-873E-85D4D15D2091}">
      <formula1>"あり,なし"</formula1>
    </dataValidation>
    <dataValidation type="list" allowBlank="1" showInputMessage="1" showErrorMessage="1" sqref="O2:P2" xr:uid="{26896D68-42AC-457F-9FB5-D2AB83EE7FA5}">
      <formula1>"なし,スポット在宅,完全在宅"</formula1>
    </dataValidation>
  </dataValidations>
  <printOptions horizontalCentered="1" verticalCentered="1"/>
  <pageMargins left="0.19685039370078741" right="0.19685039370078741" top="0.59055118110236227" bottom="0.39370078740157483" header="0.31496062992125984" footer="0.31496062992125984"/>
  <pageSetup paperSize="9" scale="86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error="_x000a_" xr:uid="{00000000-0002-0000-0000-000000000000}">
          <x14:formula1>
            <xm:f>所属・拠点・確認内容!$D$2:$D$8</xm:f>
          </x14:formula1>
          <xm:sqref>Q6:Q36</xm:sqref>
        </x14:dataValidation>
        <x14:dataValidation type="list" allowBlank="1" showInputMessage="1" xr:uid="{00000000-0002-0000-0000-000001000000}">
          <x14:formula1>
            <xm:f>所属・拠点・確認内容!$E$2:$E$7</xm:f>
          </x14:formula1>
          <xm:sqref>U6:U36</xm:sqref>
        </x14:dataValidation>
        <x14:dataValidation type="list" allowBlank="1" showInputMessage="1" showErrorMessage="1" xr:uid="{37F1BFA2-40E6-43BD-A978-92D117A3D199}">
          <x14:formula1>
            <xm:f>所属・拠点・確認内容!$A$2:$A$19</xm:f>
          </x14:formula1>
          <xm:sqref>O1:R1</xm:sqref>
        </x14:dataValidation>
        <x14:dataValidation type="list" allowBlank="1" showInputMessage="1" showErrorMessage="1" xr:uid="{78BA930F-E787-4BA2-AFF2-031FEA5070A7}">
          <x14:formula1>
            <xm:f>所属・拠点・確認内容!$C$2:$C$10</xm:f>
          </x14:formula1>
          <xm:sqref>J3:M3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42D-53A6-4216-B344-7D9D62715DBD}">
  <sheetPr codeName="Sheet2"/>
  <dimension ref="A1:E41"/>
  <sheetViews>
    <sheetView workbookViewId="0"/>
  </sheetViews>
  <sheetFormatPr defaultRowHeight="13.2"/>
  <cols>
    <col min="1" max="1" width="29.109375" bestFit="1" customWidth="1"/>
    <col min="2" max="2" width="5.88671875" bestFit="1" customWidth="1"/>
    <col min="3" max="3" width="11.33203125" bestFit="1" customWidth="1"/>
    <col min="4" max="5" width="13.109375" bestFit="1" customWidth="1"/>
  </cols>
  <sheetData>
    <row r="1" spans="1:5">
      <c r="A1" t="s">
        <v>62</v>
      </c>
      <c r="B1" t="s">
        <v>21</v>
      </c>
      <c r="C1" t="s">
        <v>63</v>
      </c>
      <c r="D1" t="s">
        <v>64</v>
      </c>
      <c r="E1" t="s">
        <v>65</v>
      </c>
    </row>
    <row r="2" spans="1:5">
      <c r="A2" t="s">
        <v>89</v>
      </c>
      <c r="B2" s="40">
        <v>0.375</v>
      </c>
      <c r="C2" t="s">
        <v>121</v>
      </c>
      <c r="D2" t="s">
        <v>66</v>
      </c>
      <c r="E2" t="s">
        <v>67</v>
      </c>
    </row>
    <row r="3" spans="1:5">
      <c r="A3" t="s">
        <v>90</v>
      </c>
      <c r="B3" s="40">
        <v>0.375</v>
      </c>
      <c r="C3" t="s">
        <v>122</v>
      </c>
      <c r="D3" t="s">
        <v>68</v>
      </c>
      <c r="E3" t="s">
        <v>68</v>
      </c>
    </row>
    <row r="4" spans="1:5">
      <c r="A4" t="s">
        <v>91</v>
      </c>
      <c r="B4" s="40">
        <v>0.375</v>
      </c>
      <c r="C4" t="s">
        <v>123</v>
      </c>
      <c r="D4" t="s">
        <v>69</v>
      </c>
      <c r="E4" t="s">
        <v>69</v>
      </c>
    </row>
    <row r="5" spans="1:5">
      <c r="A5" t="s">
        <v>92</v>
      </c>
      <c r="B5" s="40">
        <v>0.375</v>
      </c>
      <c r="C5" t="s">
        <v>124</v>
      </c>
      <c r="D5" t="s">
        <v>70</v>
      </c>
      <c r="E5" t="s">
        <v>106</v>
      </c>
    </row>
    <row r="6" spans="1:5">
      <c r="A6" t="s">
        <v>93</v>
      </c>
      <c r="B6" s="40">
        <v>0.41666666666666669</v>
      </c>
      <c r="C6" t="s">
        <v>125</v>
      </c>
      <c r="D6" t="s">
        <v>71</v>
      </c>
      <c r="E6" t="s">
        <v>107</v>
      </c>
    </row>
    <row r="7" spans="1:5">
      <c r="A7" t="s">
        <v>94</v>
      </c>
      <c r="B7" s="40">
        <v>0.41666666666666669</v>
      </c>
      <c r="C7" t="s">
        <v>126</v>
      </c>
      <c r="D7" t="s">
        <v>107</v>
      </c>
      <c r="E7" t="s">
        <v>72</v>
      </c>
    </row>
    <row r="8" spans="1:5">
      <c r="A8" t="s">
        <v>95</v>
      </c>
      <c r="B8" s="40">
        <v>0.41666666666666669</v>
      </c>
      <c r="C8" t="s">
        <v>127</v>
      </c>
      <c r="D8" t="s">
        <v>72</v>
      </c>
    </row>
    <row r="9" spans="1:5">
      <c r="A9" t="s">
        <v>96</v>
      </c>
      <c r="B9" s="40">
        <v>0.41666666666666669</v>
      </c>
      <c r="C9" t="s">
        <v>128</v>
      </c>
    </row>
    <row r="10" spans="1:5">
      <c r="A10" t="s">
        <v>97</v>
      </c>
      <c r="B10" s="40">
        <v>0.375</v>
      </c>
      <c r="C10" t="s">
        <v>120</v>
      </c>
    </row>
    <row r="11" spans="1:5">
      <c r="A11" t="s">
        <v>98</v>
      </c>
      <c r="B11" s="40">
        <v>0.41666666666666669</v>
      </c>
    </row>
    <row r="12" spans="1:5">
      <c r="A12" t="s">
        <v>99</v>
      </c>
      <c r="B12" s="40">
        <v>0.41666666666666669</v>
      </c>
    </row>
    <row r="13" spans="1:5">
      <c r="A13" t="s">
        <v>100</v>
      </c>
      <c r="B13" s="40">
        <v>0.375</v>
      </c>
    </row>
    <row r="14" spans="1:5">
      <c r="A14" t="s">
        <v>101</v>
      </c>
      <c r="B14" s="40">
        <v>0.41666666666666669</v>
      </c>
    </row>
    <row r="15" spans="1:5">
      <c r="A15" t="s">
        <v>102</v>
      </c>
      <c r="B15" s="40">
        <v>0.41666666666666669</v>
      </c>
    </row>
    <row r="16" spans="1:5">
      <c r="A16" t="s">
        <v>103</v>
      </c>
      <c r="B16" s="40">
        <v>0.375</v>
      </c>
    </row>
    <row r="17" spans="1:2">
      <c r="A17" t="s">
        <v>104</v>
      </c>
      <c r="B17" s="40">
        <v>0.41666666666666669</v>
      </c>
    </row>
    <row r="18" spans="1:2">
      <c r="A18" t="s">
        <v>105</v>
      </c>
      <c r="B18" s="40">
        <v>0.41666666666666669</v>
      </c>
    </row>
    <row r="19" spans="1:2">
      <c r="A19" t="s">
        <v>53</v>
      </c>
      <c r="B19" s="40">
        <v>0.375</v>
      </c>
    </row>
    <row r="20" spans="1:2">
      <c r="B20" s="40"/>
    </row>
    <row r="21" spans="1:2">
      <c r="B21" s="40"/>
    </row>
    <row r="22" spans="1:2">
      <c r="B22" s="40"/>
    </row>
    <row r="23" spans="1:2">
      <c r="B23" s="40"/>
    </row>
    <row r="25" spans="1:2">
      <c r="B25" s="40"/>
    </row>
    <row r="26" spans="1:2">
      <c r="B26" s="40"/>
    </row>
    <row r="27" spans="1:2">
      <c r="B27" s="40"/>
    </row>
    <row r="28" spans="1:2">
      <c r="B28" s="40"/>
    </row>
    <row r="29" spans="1:2">
      <c r="B29" s="40"/>
    </row>
    <row r="30" spans="1:2">
      <c r="B30" s="40"/>
    </row>
    <row r="31" spans="1:2">
      <c r="B31" s="40"/>
    </row>
    <row r="32" spans="1:2">
      <c r="B32" s="40"/>
    </row>
    <row r="33" spans="2:2">
      <c r="B33" s="40"/>
    </row>
    <row r="34" spans="2:2">
      <c r="B34" s="40"/>
    </row>
    <row r="35" spans="2:2">
      <c r="B35" s="40"/>
    </row>
    <row r="36" spans="2:2">
      <c r="B36" s="40"/>
    </row>
    <row r="37" spans="2:2">
      <c r="B37" s="40"/>
    </row>
    <row r="38" spans="2:2">
      <c r="B38" s="40"/>
    </row>
    <row r="39" spans="2:2">
      <c r="B39" s="40"/>
    </row>
    <row r="40" spans="2:2">
      <c r="B40" s="40"/>
    </row>
    <row r="41" spans="2:2">
      <c r="B41" s="40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F866-015D-47F1-9742-A48763A6618F}">
  <sheetPr codeName="Sheet4"/>
  <dimension ref="A1:F37"/>
  <sheetViews>
    <sheetView workbookViewId="0"/>
  </sheetViews>
  <sheetFormatPr defaultColWidth="9" defaultRowHeight="13.2"/>
  <cols>
    <col min="1" max="1" width="18.77734375" customWidth="1"/>
    <col min="2" max="2" width="21.88671875" customWidth="1"/>
    <col min="3" max="3" width="18.88671875" customWidth="1"/>
  </cols>
  <sheetData>
    <row r="1" spans="1:6" ht="120" customHeight="1" thickTop="1" thickBot="1">
      <c r="A1" s="127">
        <v>0</v>
      </c>
      <c r="B1" s="128" t="s">
        <v>116</v>
      </c>
      <c r="C1" s="129"/>
      <c r="D1" s="82"/>
      <c r="E1" s="82"/>
      <c r="F1" s="82"/>
    </row>
    <row r="2" spans="1:6" ht="15" customHeight="1" thickTop="1">
      <c r="C2" s="81"/>
      <c r="D2" s="82"/>
      <c r="E2" s="82"/>
      <c r="F2" s="82"/>
    </row>
    <row r="3" spans="1:6" ht="15" customHeight="1">
      <c r="C3" s="81"/>
      <c r="D3" s="82"/>
      <c r="E3" s="82"/>
      <c r="F3" s="82"/>
    </row>
    <row r="4" spans="1:6" ht="15" customHeight="1">
      <c r="C4" s="81"/>
      <c r="D4" s="82"/>
      <c r="E4" s="82"/>
      <c r="F4" s="82"/>
    </row>
    <row r="5" spans="1:6" ht="15" customHeight="1">
      <c r="C5" s="81"/>
      <c r="D5" s="82"/>
      <c r="E5" s="82"/>
      <c r="F5" s="82"/>
    </row>
    <row r="6" spans="1:6" ht="15" customHeight="1">
      <c r="C6" s="81"/>
      <c r="D6" s="82"/>
      <c r="E6" s="82"/>
      <c r="F6" s="82"/>
    </row>
    <row r="7" spans="1:6" ht="15" customHeight="1">
      <c r="C7" s="81"/>
      <c r="D7" s="82"/>
      <c r="E7" s="82"/>
      <c r="F7" s="82"/>
    </row>
    <row r="8" spans="1:6" ht="15" customHeight="1">
      <c r="C8" s="81"/>
      <c r="D8" s="82"/>
      <c r="E8" s="82"/>
      <c r="F8" s="82"/>
    </row>
    <row r="9" spans="1:6" ht="15" customHeight="1">
      <c r="C9" s="81"/>
      <c r="D9" s="82"/>
      <c r="E9" s="82"/>
      <c r="F9" s="82"/>
    </row>
    <row r="10" spans="1:6" ht="15" customHeight="1">
      <c r="C10" s="81"/>
      <c r="D10" s="82"/>
      <c r="E10" s="82"/>
      <c r="F10" s="82"/>
    </row>
    <row r="11" spans="1:6" ht="15" customHeight="1">
      <c r="C11" s="81"/>
      <c r="D11" s="82"/>
      <c r="E11" s="82"/>
      <c r="F11" s="82"/>
    </row>
    <row r="12" spans="1:6" ht="15" customHeight="1">
      <c r="C12" s="81"/>
      <c r="D12" s="82"/>
      <c r="E12" s="82"/>
      <c r="F12" s="82"/>
    </row>
    <row r="13" spans="1:6" ht="15" customHeight="1">
      <c r="C13" s="81"/>
      <c r="D13" s="82"/>
      <c r="E13" s="82"/>
      <c r="F13" s="82"/>
    </row>
    <row r="14" spans="1:6" ht="15" customHeight="1">
      <c r="C14" s="81"/>
      <c r="D14" s="82"/>
      <c r="E14" s="82"/>
      <c r="F14" s="82"/>
    </row>
    <row r="15" spans="1:6" ht="15" customHeight="1">
      <c r="C15" s="81"/>
      <c r="D15" s="82"/>
      <c r="E15" s="82"/>
      <c r="F15" s="82"/>
    </row>
    <row r="16" spans="1:6" ht="15" customHeight="1">
      <c r="C16" s="81"/>
      <c r="D16" s="82"/>
      <c r="E16" s="82"/>
      <c r="F16" s="82"/>
    </row>
    <row r="17" spans="3:6" ht="15" customHeight="1">
      <c r="C17" s="81"/>
      <c r="D17" s="82"/>
      <c r="E17" s="82"/>
      <c r="F17" s="82"/>
    </row>
    <row r="18" spans="3:6" ht="15" customHeight="1">
      <c r="C18" s="81"/>
      <c r="D18" s="82"/>
      <c r="E18" s="82"/>
      <c r="F18" s="82"/>
    </row>
    <row r="19" spans="3:6" ht="15" customHeight="1">
      <c r="C19" s="81"/>
      <c r="D19" s="82"/>
      <c r="E19" s="82"/>
      <c r="F19" s="82"/>
    </row>
    <row r="20" spans="3:6" ht="15" customHeight="1">
      <c r="C20" s="81"/>
      <c r="D20" s="82"/>
      <c r="E20" s="82"/>
      <c r="F20" s="82"/>
    </row>
    <row r="21" spans="3:6" ht="15" customHeight="1">
      <c r="C21" s="81"/>
      <c r="D21" s="82"/>
      <c r="E21" s="82"/>
      <c r="F21" s="82"/>
    </row>
    <row r="22" spans="3:6">
      <c r="C22" s="81"/>
      <c r="D22" s="82"/>
      <c r="E22" s="82"/>
      <c r="F22" s="82"/>
    </row>
    <row r="23" spans="3:6">
      <c r="C23" s="81"/>
      <c r="D23" s="82"/>
      <c r="E23" s="82"/>
      <c r="F23" s="82"/>
    </row>
    <row r="24" spans="3:6">
      <c r="C24" s="81"/>
      <c r="D24" s="82"/>
      <c r="E24" s="82"/>
      <c r="F24" s="82"/>
    </row>
    <row r="25" spans="3:6">
      <c r="C25" s="81"/>
      <c r="D25" s="82"/>
      <c r="E25" s="82"/>
      <c r="F25" s="82"/>
    </row>
    <row r="26" spans="3:6">
      <c r="C26" s="81"/>
      <c r="D26" s="82"/>
      <c r="E26" s="82"/>
      <c r="F26" s="82"/>
    </row>
    <row r="27" spans="3:6">
      <c r="C27" s="81"/>
      <c r="D27" s="82"/>
      <c r="E27" s="82"/>
      <c r="F27" s="82"/>
    </row>
    <row r="28" spans="3:6">
      <c r="C28" s="81"/>
      <c r="D28" s="82"/>
      <c r="E28" s="82"/>
      <c r="F28" s="82"/>
    </row>
    <row r="29" spans="3:6">
      <c r="C29" s="81"/>
      <c r="D29" s="82"/>
      <c r="E29" s="82"/>
      <c r="F29" s="82"/>
    </row>
    <row r="30" spans="3:6">
      <c r="C30" s="81"/>
      <c r="D30" s="82"/>
      <c r="E30" s="82"/>
      <c r="F30" s="82"/>
    </row>
    <row r="31" spans="3:6">
      <c r="C31" s="81"/>
      <c r="D31" s="82"/>
      <c r="E31" s="82"/>
      <c r="F31" s="82"/>
    </row>
    <row r="32" spans="3:6">
      <c r="C32" s="81"/>
      <c r="D32" s="82"/>
      <c r="E32" s="82"/>
      <c r="F32" s="82"/>
    </row>
    <row r="33" spans="3:6">
      <c r="C33" s="81"/>
      <c r="D33" s="82"/>
      <c r="E33" s="82"/>
      <c r="F33" s="82"/>
    </row>
    <row r="34" spans="3:6">
      <c r="C34" s="81"/>
      <c r="D34" s="82"/>
      <c r="E34" s="82"/>
      <c r="F34" s="82"/>
    </row>
    <row r="35" spans="3:6">
      <c r="C35" s="81"/>
      <c r="D35" s="82"/>
      <c r="E35" s="82"/>
      <c r="F35" s="82"/>
    </row>
    <row r="36" spans="3:6">
      <c r="C36" s="81"/>
      <c r="D36" s="82"/>
      <c r="E36" s="82"/>
      <c r="F36" s="82"/>
    </row>
    <row r="37" spans="3:6">
      <c r="C37" s="81"/>
    </row>
  </sheetData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21"/>
  <sheetViews>
    <sheetView workbookViewId="0"/>
  </sheetViews>
  <sheetFormatPr defaultColWidth="9" defaultRowHeight="13.2"/>
  <cols>
    <col min="1" max="1" width="18.77734375" style="1" customWidth="1"/>
    <col min="2" max="2" width="21.88671875" style="1" customWidth="1"/>
    <col min="3" max="3" width="18.88671875" style="1" customWidth="1"/>
    <col min="4" max="16384" width="9" style="1"/>
  </cols>
  <sheetData>
    <row r="1" spans="1:5" ht="120" customHeight="1" thickTop="1" thickBot="1">
      <c r="A1" s="90">
        <v>0</v>
      </c>
      <c r="B1" s="1" t="s">
        <v>116</v>
      </c>
      <c r="C1" s="2">
        <v>43906</v>
      </c>
      <c r="D1" s="3"/>
      <c r="E1" s="3"/>
    </row>
    <row r="2" spans="1:5" ht="15" customHeight="1" thickTop="1">
      <c r="A2" s="1">
        <v>0</v>
      </c>
      <c r="B2" s="1" t="s">
        <v>116</v>
      </c>
      <c r="C2" s="2"/>
      <c r="D2" s="3"/>
      <c r="E2" s="3"/>
    </row>
    <row r="3" spans="1:5" ht="15" customHeight="1">
      <c r="A3" s="1">
        <v>0</v>
      </c>
      <c r="B3" s="1" t="s">
        <v>116</v>
      </c>
      <c r="C3" s="2"/>
      <c r="D3" s="3"/>
      <c r="E3" s="3"/>
    </row>
    <row r="4" spans="1:5" ht="15" customHeight="1">
      <c r="A4" s="1">
        <v>0</v>
      </c>
      <c r="B4" s="1" t="s">
        <v>116</v>
      </c>
      <c r="C4" s="2"/>
      <c r="D4" s="3"/>
      <c r="E4" s="3"/>
    </row>
    <row r="5" spans="1:5" ht="15" customHeight="1">
      <c r="A5" s="1">
        <v>0</v>
      </c>
      <c r="B5" s="1" t="s">
        <v>116</v>
      </c>
      <c r="C5" s="2"/>
      <c r="D5" s="3"/>
      <c r="E5" s="3"/>
    </row>
    <row r="6" spans="1:5" ht="15" customHeight="1">
      <c r="A6" s="1">
        <v>0</v>
      </c>
      <c r="B6" s="1" t="s">
        <v>116</v>
      </c>
      <c r="C6" s="2"/>
      <c r="D6" s="3"/>
      <c r="E6" s="3"/>
    </row>
    <row r="7" spans="1:5" ht="15" customHeight="1">
      <c r="A7" s="1">
        <v>0</v>
      </c>
      <c r="B7" s="1" t="s">
        <v>116</v>
      </c>
      <c r="C7" s="2"/>
      <c r="D7" s="3"/>
      <c r="E7" s="3"/>
    </row>
    <row r="8" spans="1:5" ht="15" customHeight="1">
      <c r="A8" s="1">
        <v>0</v>
      </c>
      <c r="B8" s="1" t="s">
        <v>116</v>
      </c>
      <c r="C8" s="2"/>
      <c r="D8" s="3"/>
      <c r="E8" s="3"/>
    </row>
    <row r="9" spans="1:5" ht="15" customHeight="1">
      <c r="A9" s="1">
        <v>0</v>
      </c>
      <c r="B9" s="1" t="s">
        <v>116</v>
      </c>
      <c r="C9" s="2"/>
      <c r="D9" s="3"/>
      <c r="E9" s="3"/>
    </row>
    <row r="10" spans="1:5" ht="15" customHeight="1">
      <c r="C10" s="2"/>
      <c r="D10" s="3"/>
      <c r="E10" s="3"/>
    </row>
    <row r="11" spans="1:5" ht="15" customHeight="1">
      <c r="C11" s="2"/>
      <c r="D11" s="3"/>
      <c r="E11" s="3"/>
    </row>
    <row r="12" spans="1:5" ht="15" customHeight="1">
      <c r="C12" s="2"/>
      <c r="D12" s="3"/>
      <c r="E12" s="3"/>
    </row>
    <row r="13" spans="1:5" ht="15" customHeight="1">
      <c r="C13" s="2"/>
      <c r="D13" s="3"/>
      <c r="E13" s="3"/>
    </row>
    <row r="14" spans="1:5" ht="15" customHeight="1">
      <c r="C14" s="2"/>
      <c r="D14" s="3"/>
      <c r="E14" s="3"/>
    </row>
    <row r="15" spans="1:5" ht="15" customHeight="1">
      <c r="C15" s="2"/>
      <c r="D15" s="3"/>
      <c r="E15" s="3"/>
    </row>
    <row r="16" spans="1:5" ht="15" customHeight="1">
      <c r="C16" s="2"/>
      <c r="D16" s="3"/>
      <c r="E16" s="3"/>
    </row>
    <row r="17" spans="3:5" ht="15" customHeight="1">
      <c r="C17" s="2"/>
      <c r="D17" s="3"/>
      <c r="E17" s="3"/>
    </row>
    <row r="18" spans="3:5" ht="15" customHeight="1">
      <c r="C18" s="2"/>
      <c r="D18" s="3"/>
      <c r="E18" s="3"/>
    </row>
    <row r="19" spans="3:5" ht="15" customHeight="1">
      <c r="C19" s="2"/>
      <c r="D19" s="3"/>
      <c r="E19" s="3"/>
    </row>
    <row r="20" spans="3:5" ht="15" customHeight="1"/>
    <row r="21" spans="3:5" ht="15" customHeight="1"/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8AEF-6362-4C38-AC61-7DC8A38C296B}">
  <sheetPr codeName="Sheet5"/>
  <dimension ref="A1:M32"/>
  <sheetViews>
    <sheetView workbookViewId="0"/>
  </sheetViews>
  <sheetFormatPr defaultRowHeight="13.2"/>
  <cols>
    <col min="1" max="3" width="11.6640625" customWidth="1"/>
  </cols>
  <sheetData>
    <row r="1" spans="1:13">
      <c r="A1">
        <f>IF(A2=0,A3,A2)</f>
        <v>0</v>
      </c>
      <c r="B1" t="str">
        <f>IF(B2="",B3,B2)</f>
        <v/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117</v>
      </c>
    </row>
    <row r="2" spans="1:13">
      <c r="A2">
        <f>'F-Chairデータ'!A1</f>
        <v>0</v>
      </c>
      <c r="B2" t="str">
        <f>IF('F-Chairデータ'!B1="Your Name","",'F-Chairデータ'!B1)</f>
        <v/>
      </c>
      <c r="C2" s="81" t="str">
        <f>IF('勤務表 (iPRo)'!A6="**workingDate","",'勤務表 (iPRo)'!A6)</f>
        <v/>
      </c>
      <c r="D2" s="83" t="str">
        <f>IF(MAX(F2,H2)=0,"",TIME(HOUR(IF(F2=0,H2,IF(H2=0,F2,MIN(F2,H2)))),MINUTE(IF(F2=0,H2,IF(H2=0,F2,MIN(F2,H2)))),0))</f>
        <v/>
      </c>
      <c r="E2" s="83" t="str">
        <f>IF(MAX(G2,I2)=0,"",TIME(HOUR(MAX(G2,I2)),MINUTE(MAX(G2,I2)),0))</f>
        <v/>
      </c>
      <c r="F2" s="83" t="str">
        <f>IF(OR(C2="",COUNTIF('F-Chairデータ'!C:C,C2)=0),"",_xlfn.MINIFS('F-Chairデータ'!D:D,'F-Chairデータ'!C:C,C2))</f>
        <v/>
      </c>
      <c r="G2" s="83" t="str">
        <f>IF(OR(C2="",COUNTIF('F-Chairデータ'!C:C,C2)=0),"",_xlfn.MAXIFS('F-Chairデータ'!E:E,'F-Chairデータ'!C:C,C2))</f>
        <v/>
      </c>
      <c r="H2" s="83" t="str">
        <f>IF(OR(C2="",COUNTIF('i-recoデータ'!C:C,C2)=0),"",_xlfn.MINIFS('i-recoデータ'!D:D,'i-recoデータ'!C:C,C2))</f>
        <v/>
      </c>
      <c r="I2" s="83" t="str">
        <f>IF(OR(C2="",COUNTIF('i-recoデータ'!C:C,C2)=0),"",_xlfn.MAXIFS('i-recoデータ'!E:E,'i-recoデータ'!C:C,C2))</f>
        <v/>
      </c>
      <c r="J2" s="83" t="str">
        <f ca="1">IF(C2="","",_xlfn.MINIFS(INDIRECT("'["&amp;$J$1&amp;"]Sheet1'!$E:$E"),INDIRECT("'["&amp;$J$1&amp;"]Sheet1'!$A:$A"),SUBSTITUTE(SUBSTITUTE('勤務表 (iPRo)'!$O$3," ",""),"　",""),INDIRECT("'["&amp;$J$1&amp;"]Sheet1'!$D:$D"),C2))</f>
        <v/>
      </c>
      <c r="K2" t="b">
        <f ca="1">OR(F2=J2,AND(F2="",J2=0))</f>
        <v>1</v>
      </c>
      <c r="L2" s="83" t="str">
        <f ca="1">IF(C2="","",_xlfn.MAXIFS(INDIRECT("'["&amp;$J$1&amp;"]Sheet1'!$F:$F"),INDIRECT("'["&amp;$J$1&amp;"]Sheet1'!$A:$A"),SUBSTITUTE(SUBSTITUTE('勤務表 (iPRo)'!$O$3," ",""),"　",""),INDIRECT("'["&amp;$J$1&amp;"]Sheet1'!$D:$D"),C2))</f>
        <v/>
      </c>
      <c r="M2" t="b">
        <f ca="1">OR(G2=L2,AND(G2="",L2=0))</f>
        <v>1</v>
      </c>
    </row>
    <row r="3" spans="1:13">
      <c r="A3">
        <f>'i-recoデータ'!A1</f>
        <v>0</v>
      </c>
      <c r="B3" t="str">
        <f>IF('i-recoデータ'!B1="Your Name","",'i-recoデータ'!B1)</f>
        <v/>
      </c>
      <c r="C3" s="81" t="str">
        <f>IF(C2="","",IF(DAY(C2)=15,"",C2+1))</f>
        <v/>
      </c>
      <c r="D3" s="83" t="str">
        <f t="shared" ref="D3:D32" si="0">IF(MAX(F3,H3)=0,"",TIME(HOUR(IF(F3=0,H3,IF(H3=0,F3,MIN(F3,H3)))),MINUTE(IF(F3=0,H3,IF(H3=0,F3,MIN(F3,H3)))),0))</f>
        <v/>
      </c>
      <c r="E3" s="83" t="str">
        <f t="shared" ref="E3:E32" si="1">IF(MAX(G3,I3)=0,"",TIME(HOUR(MAX(G3,I3)),MINUTE(MAX(G3,I3)),0))</f>
        <v/>
      </c>
      <c r="F3" s="83" t="str">
        <f>IF(OR(C3="",COUNTIF('F-Chairデータ'!C:C,C3)=0),"",_xlfn.MINIFS('F-Chairデータ'!D:D,'F-Chairデータ'!C:C,C3))</f>
        <v/>
      </c>
      <c r="G3" s="83" t="str">
        <f>IF(OR(C3="",COUNTIF('F-Chairデータ'!C:C,C3)=0),"",_xlfn.MAXIFS('F-Chairデータ'!E:E,'F-Chairデータ'!C:C,C3))</f>
        <v/>
      </c>
      <c r="H3" s="83" t="str">
        <f>IF(OR(C3="",COUNTIF('i-recoデータ'!C:C,C3)=0),"",_xlfn.MINIFS('i-recoデータ'!D:D,'i-recoデータ'!C:C,C3))</f>
        <v/>
      </c>
      <c r="I3" s="83" t="str">
        <f>IF(OR(C3="",COUNTIF('i-recoデータ'!C:C,C3)=0),"",_xlfn.MAXIFS('i-recoデータ'!E:E,'i-recoデータ'!C:C,C3))</f>
        <v/>
      </c>
      <c r="J3" s="83" t="str">
        <f ca="1">IF(C3="","",_xlfn.MINIFS(INDIRECT("'["&amp;$J$1&amp;"]Sheet1'!$E:$E"),INDIRECT("'["&amp;$J$1&amp;"]Sheet1'!$A:$A"),SUBSTITUTE(SUBSTITUTE('勤務表 (iPRo)'!$O$3," ",""),"　",""),INDIRECT("'["&amp;$J$1&amp;"]Sheet1'!$D:$D"),C3))</f>
        <v/>
      </c>
      <c r="K3" t="b">
        <f t="shared" ref="K3:K32" ca="1" si="2">OR(F3=J3,AND(F3="",J3=0))</f>
        <v>1</v>
      </c>
      <c r="L3" s="83" t="str">
        <f ca="1">IF(C3="","",_xlfn.MAXIFS(INDIRECT("'["&amp;$J$1&amp;"]Sheet1'!$F:$F"),INDIRECT("'["&amp;$J$1&amp;"]Sheet1'!$A:$A"),SUBSTITUTE(SUBSTITUTE('勤務表 (iPRo)'!$O$3," ",""),"　",""),INDIRECT("'["&amp;$J$1&amp;"]Sheet1'!$D:$D"),C3))</f>
        <v/>
      </c>
      <c r="M3" t="b">
        <f t="shared" ref="M3:M32" ca="1" si="3">OR(G3=L3,AND(G3="",L3=0))</f>
        <v>1</v>
      </c>
    </row>
    <row r="4" spans="1:13">
      <c r="C4" s="81" t="str">
        <f t="shared" ref="C4:C32" si="4">IF(C3="","",IF(DAY(C3)=15,"",C3+1))</f>
        <v/>
      </c>
      <c r="D4" s="83" t="str">
        <f t="shared" si="0"/>
        <v/>
      </c>
      <c r="E4" s="83" t="str">
        <f t="shared" si="1"/>
        <v/>
      </c>
      <c r="F4" s="83" t="str">
        <f>IF(OR(C4="",COUNTIF('F-Chairデータ'!C:C,C4)=0),"",_xlfn.MINIFS('F-Chairデータ'!D:D,'F-Chairデータ'!C:C,C4))</f>
        <v/>
      </c>
      <c r="G4" s="83" t="str">
        <f>IF(OR(C4="",COUNTIF('F-Chairデータ'!C:C,C4)=0),"",_xlfn.MAXIFS('F-Chairデータ'!E:E,'F-Chairデータ'!C:C,C4))</f>
        <v/>
      </c>
      <c r="H4" s="83" t="str">
        <f>IF(OR(C4="",COUNTIF('i-recoデータ'!C:C,C4)=0),"",_xlfn.MINIFS('i-recoデータ'!D:D,'i-recoデータ'!C:C,C4))</f>
        <v/>
      </c>
      <c r="I4" s="83" t="str">
        <f>IF(OR(C4="",COUNTIF('i-recoデータ'!C:C,C4)=0),"",_xlfn.MAXIFS('i-recoデータ'!E:E,'i-recoデータ'!C:C,C4))</f>
        <v/>
      </c>
      <c r="J4" s="83" t="str">
        <f ca="1">IF(C4="","",_xlfn.MINIFS(INDIRECT("'["&amp;$J$1&amp;"]Sheet1'!$E:$E"),INDIRECT("'["&amp;$J$1&amp;"]Sheet1'!$A:$A"),SUBSTITUTE(SUBSTITUTE('勤務表 (iPRo)'!$O$3," ",""),"　",""),INDIRECT("'["&amp;$J$1&amp;"]Sheet1'!$D:$D"),C4))</f>
        <v/>
      </c>
      <c r="K4" t="b">
        <f t="shared" ca="1" si="2"/>
        <v>1</v>
      </c>
      <c r="L4" s="83" t="str">
        <f ca="1">IF(C4="","",_xlfn.MAXIFS(INDIRECT("'["&amp;$J$1&amp;"]Sheet1'!$F:$F"),INDIRECT("'["&amp;$J$1&amp;"]Sheet1'!$A:$A"),SUBSTITUTE(SUBSTITUTE('勤務表 (iPRo)'!$O$3," ",""),"　",""),INDIRECT("'["&amp;$J$1&amp;"]Sheet1'!$D:$D"),C4))</f>
        <v/>
      </c>
      <c r="M4" t="b">
        <f t="shared" ca="1" si="3"/>
        <v>1</v>
      </c>
    </row>
    <row r="5" spans="1:13">
      <c r="A5" t="s">
        <v>114</v>
      </c>
      <c r="B5" t="s">
        <v>115</v>
      </c>
      <c r="C5" s="81" t="str">
        <f t="shared" si="4"/>
        <v/>
      </c>
      <c r="D5" s="83" t="str">
        <f t="shared" si="0"/>
        <v/>
      </c>
      <c r="E5" s="83" t="str">
        <f t="shared" si="1"/>
        <v/>
      </c>
      <c r="F5" s="83" t="str">
        <f>IF(OR(C5="",COUNTIF('F-Chairデータ'!C:C,C5)=0),"",_xlfn.MINIFS('F-Chairデータ'!D:D,'F-Chairデータ'!C:C,C5))</f>
        <v/>
      </c>
      <c r="G5" s="83" t="str">
        <f>IF(OR(C5="",COUNTIF('F-Chairデータ'!C:C,C5)=0),"",_xlfn.MAXIFS('F-Chairデータ'!E:E,'F-Chairデータ'!C:C,C5))</f>
        <v/>
      </c>
      <c r="H5" s="83" t="str">
        <f>IF(OR(C5="",COUNTIF('i-recoデータ'!C:C,C5)=0),"",_xlfn.MINIFS('i-recoデータ'!D:D,'i-recoデータ'!C:C,C5))</f>
        <v/>
      </c>
      <c r="I5" s="83" t="str">
        <f>IF(OR(C5="",COUNTIF('i-recoデータ'!C:C,C5)=0),"",_xlfn.MAXIFS('i-recoデータ'!E:E,'i-recoデータ'!C:C,C5))</f>
        <v/>
      </c>
      <c r="J5" s="83" t="str">
        <f ca="1">IF(C5="","",_xlfn.MINIFS(INDIRECT("'["&amp;$J$1&amp;"]Sheet1'!$E:$E"),INDIRECT("'["&amp;$J$1&amp;"]Sheet1'!$A:$A"),SUBSTITUTE(SUBSTITUTE('勤務表 (iPRo)'!$O$3," ",""),"　",""),INDIRECT("'["&amp;$J$1&amp;"]Sheet1'!$D:$D"),C5))</f>
        <v/>
      </c>
      <c r="K5" t="b">
        <f t="shared" ca="1" si="2"/>
        <v>1</v>
      </c>
      <c r="L5" s="83" t="str">
        <f ca="1">IF(C5="","",_xlfn.MAXIFS(INDIRECT("'["&amp;$J$1&amp;"]Sheet1'!$F:$F"),INDIRECT("'["&amp;$J$1&amp;"]Sheet1'!$A:$A"),SUBSTITUTE(SUBSTITUTE('勤務表 (iPRo)'!$O$3," ",""),"　",""),INDIRECT("'["&amp;$J$1&amp;"]Sheet1'!$D:$D"),C5))</f>
        <v/>
      </c>
      <c r="M5" t="b">
        <f t="shared" ca="1" si="3"/>
        <v>1</v>
      </c>
    </row>
    <row r="6" spans="1:13">
      <c r="A6" s="81">
        <f>MIN('F-Chairデータ'!C:C)</f>
        <v>0</v>
      </c>
      <c r="B6" s="81">
        <f>MIN('i-recoデータ'!$C:$C)</f>
        <v>43906</v>
      </c>
      <c r="C6" s="81" t="str">
        <f t="shared" si="4"/>
        <v/>
      </c>
      <c r="D6" s="83" t="str">
        <f t="shared" si="0"/>
        <v/>
      </c>
      <c r="E6" s="83" t="str">
        <f t="shared" si="1"/>
        <v/>
      </c>
      <c r="F6" s="83" t="str">
        <f>IF(OR(C6="",COUNTIF('F-Chairデータ'!C:C,C6)=0),"",_xlfn.MINIFS('F-Chairデータ'!D:D,'F-Chairデータ'!C:C,C6))</f>
        <v/>
      </c>
      <c r="G6" s="83" t="str">
        <f>IF(OR(C6="",COUNTIF('F-Chairデータ'!C:C,C6)=0),"",_xlfn.MAXIFS('F-Chairデータ'!E:E,'F-Chairデータ'!C:C,C6))</f>
        <v/>
      </c>
      <c r="H6" s="83" t="str">
        <f>IF(OR(C6="",COUNTIF('i-recoデータ'!C:C,C6)=0),"",_xlfn.MINIFS('i-recoデータ'!D:D,'i-recoデータ'!C:C,C6))</f>
        <v/>
      </c>
      <c r="I6" s="83" t="str">
        <f>IF(OR(C6="",COUNTIF('i-recoデータ'!C:C,C6)=0),"",_xlfn.MAXIFS('i-recoデータ'!E:E,'i-recoデータ'!C:C,C6))</f>
        <v/>
      </c>
      <c r="J6" s="83" t="str">
        <f ca="1">IF(C6="","",_xlfn.MINIFS(INDIRECT("'["&amp;$J$1&amp;"]Sheet1'!$E:$E"),INDIRECT("'["&amp;$J$1&amp;"]Sheet1'!$A:$A"),SUBSTITUTE(SUBSTITUTE('勤務表 (iPRo)'!$O$3," ",""),"　",""),INDIRECT("'["&amp;$J$1&amp;"]Sheet1'!$D:$D"),C6))</f>
        <v/>
      </c>
      <c r="K6" t="b">
        <f t="shared" ca="1" si="2"/>
        <v>1</v>
      </c>
      <c r="L6" s="83" t="str">
        <f ca="1">IF(C6="","",_xlfn.MAXIFS(INDIRECT("'["&amp;$J$1&amp;"]Sheet1'!$F:$F"),INDIRECT("'["&amp;$J$1&amp;"]Sheet1'!$A:$A"),SUBSTITUTE(SUBSTITUTE('勤務表 (iPRo)'!$O$3," ",""),"　",""),INDIRECT("'["&amp;$J$1&amp;"]Sheet1'!$D:$D"),C6))</f>
        <v/>
      </c>
      <c r="M6" t="b">
        <f t="shared" ca="1" si="3"/>
        <v>1</v>
      </c>
    </row>
    <row r="7" spans="1:13">
      <c r="A7" s="81" t="e">
        <f>DATE(YEAR(A6),MONTH(A6)-IF(DAY(A6)&gt;15,0,1),16)</f>
        <v>#NUM!</v>
      </c>
      <c r="B7" s="81">
        <f>DATE(YEAR(B6),MONTH(B6)-IF(DAY(B6)&gt;15,0,1),16)</f>
        <v>43906</v>
      </c>
      <c r="C7" s="81" t="str">
        <f t="shared" si="4"/>
        <v/>
      </c>
      <c r="D7" s="83" t="str">
        <f t="shared" si="0"/>
        <v/>
      </c>
      <c r="E7" s="83" t="str">
        <f t="shared" si="1"/>
        <v/>
      </c>
      <c r="F7" s="83" t="str">
        <f>IF(OR(C7="",COUNTIF('F-Chairデータ'!C:C,C7)=0),"",_xlfn.MINIFS('F-Chairデータ'!D:D,'F-Chairデータ'!C:C,C7))</f>
        <v/>
      </c>
      <c r="G7" s="83" t="str">
        <f>IF(OR(C7="",COUNTIF('F-Chairデータ'!C:C,C7)=0),"",_xlfn.MAXIFS('F-Chairデータ'!E:E,'F-Chairデータ'!C:C,C7))</f>
        <v/>
      </c>
      <c r="H7" s="83" t="str">
        <f>IF(OR(C7="",COUNTIF('i-recoデータ'!C:C,C7)=0),"",_xlfn.MINIFS('i-recoデータ'!D:D,'i-recoデータ'!C:C,C7))</f>
        <v/>
      </c>
      <c r="I7" s="83" t="str">
        <f>IF(OR(C7="",COUNTIF('i-recoデータ'!C:C,C7)=0),"",_xlfn.MAXIFS('i-recoデータ'!E:E,'i-recoデータ'!C:C,C7))</f>
        <v/>
      </c>
      <c r="J7" s="83" t="str">
        <f ca="1">IF(C7="","",_xlfn.MINIFS(INDIRECT("'["&amp;$J$1&amp;"]Sheet1'!$E:$E"),INDIRECT("'["&amp;$J$1&amp;"]Sheet1'!$A:$A"),SUBSTITUTE(SUBSTITUTE('勤務表 (iPRo)'!$O$3," ",""),"　",""),INDIRECT("'["&amp;$J$1&amp;"]Sheet1'!$D:$D"),C7))</f>
        <v/>
      </c>
      <c r="K7" t="b">
        <f t="shared" ca="1" si="2"/>
        <v>1</v>
      </c>
      <c r="L7" s="83" t="str">
        <f ca="1">IF(C7="","",_xlfn.MAXIFS(INDIRECT("'["&amp;$J$1&amp;"]Sheet1'!$F:$F"),INDIRECT("'["&amp;$J$1&amp;"]Sheet1'!$A:$A"),SUBSTITUTE(SUBSTITUTE('勤務表 (iPRo)'!$O$3," ",""),"　",""),INDIRECT("'["&amp;$J$1&amp;"]Sheet1'!$D:$D"),C7))</f>
        <v/>
      </c>
      <c r="M7" t="b">
        <f t="shared" ca="1" si="3"/>
        <v>1</v>
      </c>
    </row>
    <row r="8" spans="1:13">
      <c r="A8" s="81"/>
      <c r="B8" s="81"/>
      <c r="C8" s="81" t="str">
        <f t="shared" si="4"/>
        <v/>
      </c>
      <c r="D8" s="83" t="str">
        <f t="shared" si="0"/>
        <v/>
      </c>
      <c r="E8" s="83" t="str">
        <f t="shared" si="1"/>
        <v/>
      </c>
      <c r="F8" s="83" t="str">
        <f>IF(OR(C8="",COUNTIF('F-Chairデータ'!C:C,C8)=0),"",_xlfn.MINIFS('F-Chairデータ'!D:D,'F-Chairデータ'!C:C,C8))</f>
        <v/>
      </c>
      <c r="G8" s="83" t="str">
        <f>IF(OR(C8="",COUNTIF('F-Chairデータ'!C:C,C8)=0),"",_xlfn.MAXIFS('F-Chairデータ'!E:E,'F-Chairデータ'!C:C,C8))</f>
        <v/>
      </c>
      <c r="H8" s="83" t="str">
        <f>IF(OR(C8="",COUNTIF('i-recoデータ'!C:C,C8)=0),"",_xlfn.MINIFS('i-recoデータ'!D:D,'i-recoデータ'!C:C,C8))</f>
        <v/>
      </c>
      <c r="I8" s="83" t="str">
        <f>IF(OR(C8="",COUNTIF('i-recoデータ'!C:C,C8)=0),"",_xlfn.MAXIFS('i-recoデータ'!E:E,'i-recoデータ'!C:C,C8))</f>
        <v/>
      </c>
      <c r="J8" s="83" t="str">
        <f ca="1">IF(C8="","",_xlfn.MINIFS(INDIRECT("'["&amp;$J$1&amp;"]Sheet1'!$E:$E"),INDIRECT("'["&amp;$J$1&amp;"]Sheet1'!$A:$A"),SUBSTITUTE(SUBSTITUTE('勤務表 (iPRo)'!$O$3," ",""),"　",""),INDIRECT("'["&amp;$J$1&amp;"]Sheet1'!$D:$D"),C8))</f>
        <v/>
      </c>
      <c r="K8" t="b">
        <f t="shared" ca="1" si="2"/>
        <v>1</v>
      </c>
      <c r="L8" s="83" t="str">
        <f ca="1">IF(C8="","",_xlfn.MAXIFS(INDIRECT("'["&amp;$J$1&amp;"]Sheet1'!$F:$F"),INDIRECT("'["&amp;$J$1&amp;"]Sheet1'!$A:$A"),SUBSTITUTE(SUBSTITUTE('勤務表 (iPRo)'!$O$3," ",""),"　",""),INDIRECT("'["&amp;$J$1&amp;"]Sheet1'!$D:$D"),C8))</f>
        <v/>
      </c>
      <c r="M8" t="b">
        <f t="shared" ca="1" si="3"/>
        <v>1</v>
      </c>
    </row>
    <row r="9" spans="1:13">
      <c r="A9" s="81">
        <f>MAX('F-Chairデータ'!C:C)</f>
        <v>0</v>
      </c>
      <c r="B9" s="81">
        <f>MAX('i-recoデータ'!$C:$C)</f>
        <v>43906</v>
      </c>
      <c r="C9" s="81" t="str">
        <f t="shared" si="4"/>
        <v/>
      </c>
      <c r="D9" s="83" t="str">
        <f t="shared" si="0"/>
        <v/>
      </c>
      <c r="E9" s="83" t="str">
        <f t="shared" si="1"/>
        <v/>
      </c>
      <c r="F9" s="83" t="str">
        <f>IF(OR(C9="",COUNTIF('F-Chairデータ'!C:C,C9)=0),"",_xlfn.MINIFS('F-Chairデータ'!D:D,'F-Chairデータ'!C:C,C9))</f>
        <v/>
      </c>
      <c r="G9" s="83" t="str">
        <f>IF(OR(C9="",COUNTIF('F-Chairデータ'!C:C,C9)=0),"",_xlfn.MAXIFS('F-Chairデータ'!E:E,'F-Chairデータ'!C:C,C9))</f>
        <v/>
      </c>
      <c r="H9" s="83" t="str">
        <f>IF(OR(C9="",COUNTIF('i-recoデータ'!C:C,C9)=0),"",_xlfn.MINIFS('i-recoデータ'!D:D,'i-recoデータ'!C:C,C9))</f>
        <v/>
      </c>
      <c r="I9" s="83" t="str">
        <f>IF(OR(C9="",COUNTIF('i-recoデータ'!C:C,C9)=0),"",_xlfn.MAXIFS('i-recoデータ'!E:E,'i-recoデータ'!C:C,C9))</f>
        <v/>
      </c>
      <c r="J9" s="83" t="str">
        <f ca="1">IF(C9="","",_xlfn.MINIFS(INDIRECT("'["&amp;$J$1&amp;"]Sheet1'!$E:$E"),INDIRECT("'["&amp;$J$1&amp;"]Sheet1'!$A:$A"),SUBSTITUTE(SUBSTITUTE('勤務表 (iPRo)'!$O$3," ",""),"　",""),INDIRECT("'["&amp;$J$1&amp;"]Sheet1'!$D:$D"),C9))</f>
        <v/>
      </c>
      <c r="K9" t="b">
        <f t="shared" ca="1" si="2"/>
        <v>1</v>
      </c>
      <c r="L9" s="83" t="str">
        <f ca="1">IF(C9="","",_xlfn.MAXIFS(INDIRECT("'["&amp;$J$1&amp;"]Sheet1'!$F:$F"),INDIRECT("'["&amp;$J$1&amp;"]Sheet1'!$A:$A"),SUBSTITUTE(SUBSTITUTE('勤務表 (iPRo)'!$O$3," ",""),"　",""),INDIRECT("'["&amp;$J$1&amp;"]Sheet1'!$D:$D"),C9))</f>
        <v/>
      </c>
      <c r="M9" t="b">
        <f t="shared" ca="1" si="3"/>
        <v>1</v>
      </c>
    </row>
    <row r="10" spans="1:13">
      <c r="A10" s="81" t="e">
        <f>DATE(YEAR(A9),MONTH(A9)-IF(DAY(A9)&gt;15,0,1),16)</f>
        <v>#NUM!</v>
      </c>
      <c r="B10" s="81">
        <f>DATE(YEAR(B9),MONTH(B9)-IF(DAY(B9)&gt;15,0,1),16)</f>
        <v>43906</v>
      </c>
      <c r="C10" s="81" t="str">
        <f t="shared" si="4"/>
        <v/>
      </c>
      <c r="D10" s="83" t="str">
        <f t="shared" si="0"/>
        <v/>
      </c>
      <c r="E10" s="83" t="str">
        <f t="shared" si="1"/>
        <v/>
      </c>
      <c r="F10" s="83" t="str">
        <f>IF(OR(C10="",COUNTIF('F-Chairデータ'!C:C,C10)=0),"",_xlfn.MINIFS('F-Chairデータ'!D:D,'F-Chairデータ'!C:C,C10))</f>
        <v/>
      </c>
      <c r="G10" s="83" t="str">
        <f>IF(OR(C10="",COUNTIF('F-Chairデータ'!C:C,C10)=0),"",_xlfn.MAXIFS('F-Chairデータ'!E:E,'F-Chairデータ'!C:C,C10))</f>
        <v/>
      </c>
      <c r="H10" s="83" t="str">
        <f>IF(OR(C10="",COUNTIF('i-recoデータ'!C:C,C10)=0),"",_xlfn.MINIFS('i-recoデータ'!D:D,'i-recoデータ'!C:C,C10))</f>
        <v/>
      </c>
      <c r="I10" s="83" t="str">
        <f>IF(OR(C10="",COUNTIF('i-recoデータ'!C:C,C10)=0),"",_xlfn.MAXIFS('i-recoデータ'!E:E,'i-recoデータ'!C:C,C10))</f>
        <v/>
      </c>
      <c r="J10" s="83" t="str">
        <f ca="1">IF(C10="","",_xlfn.MINIFS(INDIRECT("'["&amp;$J$1&amp;"]Sheet1'!$E:$E"),INDIRECT("'["&amp;$J$1&amp;"]Sheet1'!$A:$A"),SUBSTITUTE(SUBSTITUTE('勤務表 (iPRo)'!$O$3," ",""),"　",""),INDIRECT("'["&amp;$J$1&amp;"]Sheet1'!$D:$D"),C10))</f>
        <v/>
      </c>
      <c r="K10" t="b">
        <f t="shared" ca="1" si="2"/>
        <v>1</v>
      </c>
      <c r="L10" s="83" t="str">
        <f ca="1">IF(C10="","",_xlfn.MAXIFS(INDIRECT("'["&amp;$J$1&amp;"]Sheet1'!$F:$F"),INDIRECT("'["&amp;$J$1&amp;"]Sheet1'!$A:$A"),SUBSTITUTE(SUBSTITUTE('勤務表 (iPRo)'!$O$3," ",""),"　",""),INDIRECT("'["&amp;$J$1&amp;"]Sheet1'!$D:$D"),C10))</f>
        <v/>
      </c>
      <c r="M10" t="b">
        <f t="shared" ca="1" si="3"/>
        <v>1</v>
      </c>
    </row>
    <row r="11" spans="1:13">
      <c r="C11" s="81" t="str">
        <f t="shared" si="4"/>
        <v/>
      </c>
      <c r="D11" s="83" t="str">
        <f t="shared" si="0"/>
        <v/>
      </c>
      <c r="E11" s="83" t="str">
        <f t="shared" si="1"/>
        <v/>
      </c>
      <c r="F11" s="83" t="str">
        <f>IF(OR(C11="",COUNTIF('F-Chairデータ'!C:C,C11)=0),"",_xlfn.MINIFS('F-Chairデータ'!D:D,'F-Chairデータ'!C:C,C11))</f>
        <v/>
      </c>
      <c r="G11" s="83" t="str">
        <f>IF(OR(C11="",COUNTIF('F-Chairデータ'!C:C,C11)=0),"",_xlfn.MAXIFS('F-Chairデータ'!E:E,'F-Chairデータ'!C:C,C11))</f>
        <v/>
      </c>
      <c r="H11" s="83" t="str">
        <f>IF(OR(C11="",COUNTIF('i-recoデータ'!C:C,C11)=0),"",_xlfn.MINIFS('i-recoデータ'!D:D,'i-recoデータ'!C:C,C11))</f>
        <v/>
      </c>
      <c r="I11" s="83" t="str">
        <f>IF(OR(C11="",COUNTIF('i-recoデータ'!C:C,C11)=0),"",_xlfn.MAXIFS('i-recoデータ'!E:E,'i-recoデータ'!C:C,C11))</f>
        <v/>
      </c>
      <c r="J11" s="83" t="str">
        <f ca="1">IF(C11="","",_xlfn.MINIFS(INDIRECT("'["&amp;$J$1&amp;"]Sheet1'!$E:$E"),INDIRECT("'["&amp;$J$1&amp;"]Sheet1'!$A:$A"),SUBSTITUTE(SUBSTITUTE('勤務表 (iPRo)'!$O$3," ",""),"　",""),INDIRECT("'["&amp;$J$1&amp;"]Sheet1'!$D:$D"),C11))</f>
        <v/>
      </c>
      <c r="K11" t="b">
        <f t="shared" ca="1" si="2"/>
        <v>1</v>
      </c>
      <c r="L11" s="83" t="str">
        <f ca="1">IF(C11="","",_xlfn.MAXIFS(INDIRECT("'["&amp;$J$1&amp;"]Sheet1'!$F:$F"),INDIRECT("'["&amp;$J$1&amp;"]Sheet1'!$A:$A"),SUBSTITUTE(SUBSTITUTE('勤務表 (iPRo)'!$O$3," ",""),"　",""),INDIRECT("'["&amp;$J$1&amp;"]Sheet1'!$D:$D"),C11))</f>
        <v/>
      </c>
      <c r="M11" t="b">
        <f t="shared" ca="1" si="3"/>
        <v>1</v>
      </c>
    </row>
    <row r="12" spans="1:13">
      <c r="A12" t="e">
        <f>DATEDIF(A7,A10,"m")</f>
        <v>#NUM!</v>
      </c>
      <c r="B12">
        <f>DATEDIF(B7,B10,"m")</f>
        <v>0</v>
      </c>
      <c r="C12" s="81" t="str">
        <f t="shared" si="4"/>
        <v/>
      </c>
      <c r="D12" s="83" t="str">
        <f t="shared" si="0"/>
        <v/>
      </c>
      <c r="E12" s="83" t="str">
        <f t="shared" si="1"/>
        <v/>
      </c>
      <c r="F12" s="83" t="str">
        <f>IF(OR(C12="",COUNTIF('F-Chairデータ'!C:C,C12)=0),"",_xlfn.MINIFS('F-Chairデータ'!D:D,'F-Chairデータ'!C:C,C12))</f>
        <v/>
      </c>
      <c r="G12" s="83" t="str">
        <f>IF(OR(C12="",COUNTIF('F-Chairデータ'!C:C,C12)=0),"",_xlfn.MAXIFS('F-Chairデータ'!E:E,'F-Chairデータ'!C:C,C12))</f>
        <v/>
      </c>
      <c r="H12" s="83" t="str">
        <f>IF(OR(C12="",COUNTIF('i-recoデータ'!C:C,C12)=0),"",_xlfn.MINIFS('i-recoデータ'!D:D,'i-recoデータ'!C:C,C12))</f>
        <v/>
      </c>
      <c r="I12" s="83" t="str">
        <f>IF(OR(C12="",COUNTIF('i-recoデータ'!C:C,C12)=0),"",_xlfn.MAXIFS('i-recoデータ'!E:E,'i-recoデータ'!C:C,C12))</f>
        <v/>
      </c>
      <c r="J12" s="83" t="str">
        <f ca="1">IF(C12="","",_xlfn.MINIFS(INDIRECT("'["&amp;$J$1&amp;"]Sheet1'!$E:$E"),INDIRECT("'["&amp;$J$1&amp;"]Sheet1'!$A:$A"),SUBSTITUTE(SUBSTITUTE('勤務表 (iPRo)'!$O$3," ",""),"　",""),INDIRECT("'["&amp;$J$1&amp;"]Sheet1'!$D:$D"),C12))</f>
        <v/>
      </c>
      <c r="K12" t="b">
        <f t="shared" ca="1" si="2"/>
        <v>1</v>
      </c>
      <c r="L12" s="83" t="str">
        <f ca="1">IF(C12="","",_xlfn.MAXIFS(INDIRECT("'["&amp;$J$1&amp;"]Sheet1'!$F:$F"),INDIRECT("'["&amp;$J$1&amp;"]Sheet1'!$A:$A"),SUBSTITUTE(SUBSTITUTE('勤務表 (iPRo)'!$O$3," ",""),"　",""),INDIRECT("'["&amp;$J$1&amp;"]Sheet1'!$D:$D"),C12))</f>
        <v/>
      </c>
      <c r="M12" t="b">
        <f t="shared" ca="1" si="3"/>
        <v>1</v>
      </c>
    </row>
    <row r="13" spans="1:13">
      <c r="A13" s="81" t="e">
        <f>IF(A12=0,A7,IF(A12=1,A10,DATE(YEAR(A10),MONTH(A10)-1,DAY(A10))))</f>
        <v>#NUM!</v>
      </c>
      <c r="B13" s="81">
        <f>IF(B12=0,B7,IF(B12=1,B10,DATE(YEAR(B10),MONTH(B10)-1,DAY(B10))))</f>
        <v>43906</v>
      </c>
      <c r="C13" s="81" t="str">
        <f t="shared" si="4"/>
        <v/>
      </c>
      <c r="D13" s="83" t="str">
        <f t="shared" si="0"/>
        <v/>
      </c>
      <c r="E13" s="83" t="str">
        <f t="shared" si="1"/>
        <v/>
      </c>
      <c r="F13" s="83" t="str">
        <f>IF(OR(C13="",COUNTIF('F-Chairデータ'!C:C,C13)=0),"",_xlfn.MINIFS('F-Chairデータ'!D:D,'F-Chairデータ'!C:C,C13))</f>
        <v/>
      </c>
      <c r="G13" s="83" t="str">
        <f>IF(OR(C13="",COUNTIF('F-Chairデータ'!C:C,C13)=0),"",_xlfn.MAXIFS('F-Chairデータ'!E:E,'F-Chairデータ'!C:C,C13))</f>
        <v/>
      </c>
      <c r="H13" s="83" t="str">
        <f>IF(OR(C13="",COUNTIF('i-recoデータ'!C:C,C13)=0),"",_xlfn.MINIFS('i-recoデータ'!D:D,'i-recoデータ'!C:C,C13))</f>
        <v/>
      </c>
      <c r="I13" s="83" t="str">
        <f>IF(OR(C13="",COUNTIF('i-recoデータ'!C:C,C13)=0),"",_xlfn.MAXIFS('i-recoデータ'!E:E,'i-recoデータ'!C:C,C13))</f>
        <v/>
      </c>
      <c r="J13" s="83" t="str">
        <f ca="1">IF(C13="","",_xlfn.MINIFS(INDIRECT("'["&amp;$J$1&amp;"]Sheet1'!$E:$E"),INDIRECT("'["&amp;$J$1&amp;"]Sheet1'!$A:$A"),SUBSTITUTE(SUBSTITUTE('勤務表 (iPRo)'!$O$3," ",""),"　",""),INDIRECT("'["&amp;$J$1&amp;"]Sheet1'!$D:$D"),C13))</f>
        <v/>
      </c>
      <c r="K13" t="b">
        <f t="shared" ca="1" si="2"/>
        <v>1</v>
      </c>
      <c r="L13" s="83" t="str">
        <f ca="1">IF(C13="","",_xlfn.MAXIFS(INDIRECT("'["&amp;$J$1&amp;"]Sheet1'!$F:$F"),INDIRECT("'["&amp;$J$1&amp;"]Sheet1'!$A:$A"),SUBSTITUTE(SUBSTITUTE('勤務表 (iPRo)'!$O$3," ",""),"　",""),INDIRECT("'["&amp;$J$1&amp;"]Sheet1'!$D:$D"),C13))</f>
        <v/>
      </c>
      <c r="M13" t="b">
        <f t="shared" ca="1" si="3"/>
        <v>1</v>
      </c>
    </row>
    <row r="14" spans="1:13">
      <c r="C14" s="81" t="str">
        <f t="shared" si="4"/>
        <v/>
      </c>
      <c r="D14" s="83" t="str">
        <f t="shared" si="0"/>
        <v/>
      </c>
      <c r="E14" s="83" t="str">
        <f t="shared" si="1"/>
        <v/>
      </c>
      <c r="F14" s="83" t="str">
        <f>IF(OR(C14="",COUNTIF('F-Chairデータ'!C:C,C14)=0),"",_xlfn.MINIFS('F-Chairデータ'!D:D,'F-Chairデータ'!C:C,C14))</f>
        <v/>
      </c>
      <c r="G14" s="83" t="str">
        <f>IF(OR(C14="",COUNTIF('F-Chairデータ'!C:C,C14)=0),"",_xlfn.MAXIFS('F-Chairデータ'!E:E,'F-Chairデータ'!C:C,C14))</f>
        <v/>
      </c>
      <c r="H14" s="83" t="str">
        <f>IF(OR(C14="",COUNTIF('i-recoデータ'!C:C,C14)=0),"",_xlfn.MINIFS('i-recoデータ'!D:D,'i-recoデータ'!C:C,C14))</f>
        <v/>
      </c>
      <c r="I14" s="83" t="str">
        <f>IF(OR(C14="",COUNTIF('i-recoデータ'!C:C,C14)=0),"",_xlfn.MAXIFS('i-recoデータ'!E:E,'i-recoデータ'!C:C,C14))</f>
        <v/>
      </c>
      <c r="J14" s="83" t="str">
        <f ca="1">IF(C14="","",_xlfn.MINIFS(INDIRECT("'["&amp;$J$1&amp;"]Sheet1'!$E:$E"),INDIRECT("'["&amp;$J$1&amp;"]Sheet1'!$A:$A"),SUBSTITUTE(SUBSTITUTE('勤務表 (iPRo)'!$O$3," ",""),"　",""),INDIRECT("'["&amp;$J$1&amp;"]Sheet1'!$D:$D"),C14))</f>
        <v/>
      </c>
      <c r="K14" t="b">
        <f t="shared" ca="1" si="2"/>
        <v>1</v>
      </c>
      <c r="L14" s="83" t="str">
        <f ca="1">IF(C14="","",_xlfn.MAXIFS(INDIRECT("'["&amp;$J$1&amp;"]Sheet1'!$F:$F"),INDIRECT("'["&amp;$J$1&amp;"]Sheet1'!$A:$A"),SUBSTITUTE(SUBSTITUTE('勤務表 (iPRo)'!$O$3," ",""),"　",""),INDIRECT("'["&amp;$J$1&amp;"]Sheet1'!$D:$D"),C14))</f>
        <v/>
      </c>
      <c r="M14" t="b">
        <f t="shared" ca="1" si="3"/>
        <v>1</v>
      </c>
    </row>
    <row r="15" spans="1:13">
      <c r="C15" s="81" t="str">
        <f t="shared" si="4"/>
        <v/>
      </c>
      <c r="D15" s="83" t="str">
        <f t="shared" si="0"/>
        <v/>
      </c>
      <c r="E15" s="83" t="str">
        <f t="shared" si="1"/>
        <v/>
      </c>
      <c r="F15" s="83" t="str">
        <f>IF(OR(C15="",COUNTIF('F-Chairデータ'!C:C,C15)=0),"",_xlfn.MINIFS('F-Chairデータ'!D:D,'F-Chairデータ'!C:C,C15))</f>
        <v/>
      </c>
      <c r="G15" s="83" t="str">
        <f>IF(OR(C15="",COUNTIF('F-Chairデータ'!C:C,C15)=0),"",_xlfn.MAXIFS('F-Chairデータ'!E:E,'F-Chairデータ'!C:C,C15))</f>
        <v/>
      </c>
      <c r="H15" s="83" t="str">
        <f>IF(OR(C15="",COUNTIF('i-recoデータ'!C:C,C15)=0),"",_xlfn.MINIFS('i-recoデータ'!D:D,'i-recoデータ'!C:C,C15))</f>
        <v/>
      </c>
      <c r="I15" s="83" t="str">
        <f>IF(OR(C15="",COUNTIF('i-recoデータ'!C:C,C15)=0),"",_xlfn.MAXIFS('i-recoデータ'!E:E,'i-recoデータ'!C:C,C15))</f>
        <v/>
      </c>
      <c r="J15" s="83" t="str">
        <f ca="1">IF(C15="","",_xlfn.MINIFS(INDIRECT("'["&amp;$J$1&amp;"]Sheet1'!$E:$E"),INDIRECT("'["&amp;$J$1&amp;"]Sheet1'!$A:$A"),SUBSTITUTE(SUBSTITUTE('勤務表 (iPRo)'!$O$3," ",""),"　",""),INDIRECT("'["&amp;$J$1&amp;"]Sheet1'!$D:$D"),C15))</f>
        <v/>
      </c>
      <c r="K15" t="b">
        <f t="shared" ca="1" si="2"/>
        <v>1</v>
      </c>
      <c r="L15" s="83" t="str">
        <f ca="1">IF(C15="","",_xlfn.MAXIFS(INDIRECT("'["&amp;$J$1&amp;"]Sheet1'!$F:$F"),INDIRECT("'["&amp;$J$1&amp;"]Sheet1'!$A:$A"),SUBSTITUTE(SUBSTITUTE('勤務表 (iPRo)'!$O$3," ",""),"　",""),INDIRECT("'["&amp;$J$1&amp;"]Sheet1'!$D:$D"),C15))</f>
        <v/>
      </c>
      <c r="M15" t="b">
        <f t="shared" ca="1" si="3"/>
        <v>1</v>
      </c>
    </row>
    <row r="16" spans="1:13">
      <c r="C16" s="81" t="str">
        <f t="shared" si="4"/>
        <v/>
      </c>
      <c r="D16" s="83" t="str">
        <f t="shared" si="0"/>
        <v/>
      </c>
      <c r="E16" s="83" t="str">
        <f t="shared" si="1"/>
        <v/>
      </c>
      <c r="F16" s="83" t="str">
        <f>IF(OR(C16="",COUNTIF('F-Chairデータ'!C:C,C16)=0),"",_xlfn.MINIFS('F-Chairデータ'!D:D,'F-Chairデータ'!C:C,C16))</f>
        <v/>
      </c>
      <c r="G16" s="83" t="str">
        <f>IF(OR(C16="",COUNTIF('F-Chairデータ'!C:C,C16)=0),"",_xlfn.MAXIFS('F-Chairデータ'!E:E,'F-Chairデータ'!C:C,C16))</f>
        <v/>
      </c>
      <c r="H16" s="83" t="str">
        <f>IF(OR(C16="",COUNTIF('i-recoデータ'!C:C,C16)=0),"",_xlfn.MINIFS('i-recoデータ'!D:D,'i-recoデータ'!C:C,C16))</f>
        <v/>
      </c>
      <c r="I16" s="83" t="str">
        <f>IF(OR(C16="",COUNTIF('i-recoデータ'!C:C,C16)=0),"",_xlfn.MAXIFS('i-recoデータ'!E:E,'i-recoデータ'!C:C,C16))</f>
        <v/>
      </c>
      <c r="J16" s="83" t="str">
        <f ca="1">IF(C16="","",_xlfn.MINIFS(INDIRECT("'["&amp;$J$1&amp;"]Sheet1'!$E:$E"),INDIRECT("'["&amp;$J$1&amp;"]Sheet1'!$A:$A"),SUBSTITUTE(SUBSTITUTE('勤務表 (iPRo)'!$O$3," ",""),"　",""),INDIRECT("'["&amp;$J$1&amp;"]Sheet1'!$D:$D"),C16))</f>
        <v/>
      </c>
      <c r="K16" t="b">
        <f t="shared" ca="1" si="2"/>
        <v>1</v>
      </c>
      <c r="L16" s="83" t="str">
        <f ca="1">IF(C16="","",_xlfn.MAXIFS(INDIRECT("'["&amp;$J$1&amp;"]Sheet1'!$F:$F"),INDIRECT("'["&amp;$J$1&amp;"]Sheet1'!$A:$A"),SUBSTITUTE(SUBSTITUTE('勤務表 (iPRo)'!$O$3," ",""),"　",""),INDIRECT("'["&amp;$J$1&amp;"]Sheet1'!$D:$D"),C16))</f>
        <v/>
      </c>
      <c r="M16" t="b">
        <f t="shared" ca="1" si="3"/>
        <v>1</v>
      </c>
    </row>
    <row r="17" spans="3:13">
      <c r="C17" s="81" t="str">
        <f t="shared" si="4"/>
        <v/>
      </c>
      <c r="D17" s="83" t="str">
        <f t="shared" si="0"/>
        <v/>
      </c>
      <c r="E17" s="83" t="str">
        <f t="shared" si="1"/>
        <v/>
      </c>
      <c r="F17" s="83" t="str">
        <f>IF(OR(C17="",COUNTIF('F-Chairデータ'!C:C,C17)=0),"",_xlfn.MINIFS('F-Chairデータ'!D:D,'F-Chairデータ'!C:C,C17))</f>
        <v/>
      </c>
      <c r="G17" s="83" t="str">
        <f>IF(OR(C17="",COUNTIF('F-Chairデータ'!C:C,C17)=0),"",_xlfn.MAXIFS('F-Chairデータ'!E:E,'F-Chairデータ'!C:C,C17))</f>
        <v/>
      </c>
      <c r="H17" s="83" t="str">
        <f>IF(OR(C17="",COUNTIF('i-recoデータ'!C:C,C17)=0),"",_xlfn.MINIFS('i-recoデータ'!D:D,'i-recoデータ'!C:C,C17))</f>
        <v/>
      </c>
      <c r="I17" s="83" t="str">
        <f>IF(OR(C17="",COUNTIF('i-recoデータ'!C:C,C17)=0),"",_xlfn.MAXIFS('i-recoデータ'!E:E,'i-recoデータ'!C:C,C17))</f>
        <v/>
      </c>
      <c r="J17" s="83" t="str">
        <f ca="1">IF(C17="","",_xlfn.MINIFS(INDIRECT("'["&amp;$J$1&amp;"]Sheet1'!$E:$E"),INDIRECT("'["&amp;$J$1&amp;"]Sheet1'!$A:$A"),SUBSTITUTE(SUBSTITUTE('勤務表 (iPRo)'!$O$3," ",""),"　",""),INDIRECT("'["&amp;$J$1&amp;"]Sheet1'!$D:$D"),C17))</f>
        <v/>
      </c>
      <c r="K17" t="b">
        <f t="shared" ca="1" si="2"/>
        <v>1</v>
      </c>
      <c r="L17" s="83" t="str">
        <f ca="1">IF(C17="","",_xlfn.MAXIFS(INDIRECT("'["&amp;$J$1&amp;"]Sheet1'!$F:$F"),INDIRECT("'["&amp;$J$1&amp;"]Sheet1'!$A:$A"),SUBSTITUTE(SUBSTITUTE('勤務表 (iPRo)'!$O$3," ",""),"　",""),INDIRECT("'["&amp;$J$1&amp;"]Sheet1'!$D:$D"),C17))</f>
        <v/>
      </c>
      <c r="M17" t="b">
        <f t="shared" ca="1" si="3"/>
        <v>1</v>
      </c>
    </row>
    <row r="18" spans="3:13">
      <c r="C18" s="81" t="str">
        <f t="shared" si="4"/>
        <v/>
      </c>
      <c r="D18" s="83" t="str">
        <f t="shared" si="0"/>
        <v/>
      </c>
      <c r="E18" s="83" t="str">
        <f t="shared" si="1"/>
        <v/>
      </c>
      <c r="F18" s="83" t="str">
        <f>IF(OR(C18="",COUNTIF('F-Chairデータ'!C:C,C18)=0),"",_xlfn.MINIFS('F-Chairデータ'!D:D,'F-Chairデータ'!C:C,C18))</f>
        <v/>
      </c>
      <c r="G18" s="83" t="str">
        <f>IF(OR(C18="",COUNTIF('F-Chairデータ'!C:C,C18)=0),"",_xlfn.MAXIFS('F-Chairデータ'!E:E,'F-Chairデータ'!C:C,C18))</f>
        <v/>
      </c>
      <c r="H18" s="83" t="str">
        <f>IF(OR(C18="",COUNTIF('i-recoデータ'!C:C,C18)=0),"",_xlfn.MINIFS('i-recoデータ'!D:D,'i-recoデータ'!C:C,C18))</f>
        <v/>
      </c>
      <c r="I18" s="83" t="str">
        <f>IF(OR(C18="",COUNTIF('i-recoデータ'!C:C,C18)=0),"",_xlfn.MAXIFS('i-recoデータ'!E:E,'i-recoデータ'!C:C,C18))</f>
        <v/>
      </c>
      <c r="J18" s="83" t="str">
        <f ca="1">IF(C18="","",_xlfn.MINIFS(INDIRECT("'["&amp;$J$1&amp;"]Sheet1'!$E:$E"),INDIRECT("'["&amp;$J$1&amp;"]Sheet1'!$A:$A"),SUBSTITUTE(SUBSTITUTE('勤務表 (iPRo)'!$O$3," ",""),"　",""),INDIRECT("'["&amp;$J$1&amp;"]Sheet1'!$D:$D"),C18))</f>
        <v/>
      </c>
      <c r="K18" t="b">
        <f t="shared" ca="1" si="2"/>
        <v>1</v>
      </c>
      <c r="L18" s="83" t="str">
        <f ca="1">IF(C18="","",_xlfn.MAXIFS(INDIRECT("'["&amp;$J$1&amp;"]Sheet1'!$F:$F"),INDIRECT("'["&amp;$J$1&amp;"]Sheet1'!$A:$A"),SUBSTITUTE(SUBSTITUTE('勤務表 (iPRo)'!$O$3," ",""),"　",""),INDIRECT("'["&amp;$J$1&amp;"]Sheet1'!$D:$D"),C18))</f>
        <v/>
      </c>
      <c r="M18" t="b">
        <f t="shared" ca="1" si="3"/>
        <v>1</v>
      </c>
    </row>
    <row r="19" spans="3:13">
      <c r="C19" s="81" t="str">
        <f t="shared" si="4"/>
        <v/>
      </c>
      <c r="D19" s="83" t="str">
        <f t="shared" si="0"/>
        <v/>
      </c>
      <c r="E19" s="83" t="str">
        <f t="shared" si="1"/>
        <v/>
      </c>
      <c r="F19" s="83" t="str">
        <f>IF(OR(C19="",COUNTIF('F-Chairデータ'!C:C,C19)=0),"",_xlfn.MINIFS('F-Chairデータ'!D:D,'F-Chairデータ'!C:C,C19))</f>
        <v/>
      </c>
      <c r="G19" s="83" t="str">
        <f>IF(OR(C19="",COUNTIF('F-Chairデータ'!C:C,C19)=0),"",_xlfn.MAXIFS('F-Chairデータ'!E:E,'F-Chairデータ'!C:C,C19))</f>
        <v/>
      </c>
      <c r="H19" s="83" t="str">
        <f>IF(OR(C19="",COUNTIF('i-recoデータ'!C:C,C19)=0),"",_xlfn.MINIFS('i-recoデータ'!D:D,'i-recoデータ'!C:C,C19))</f>
        <v/>
      </c>
      <c r="I19" s="83" t="str">
        <f>IF(OR(C19="",COUNTIF('i-recoデータ'!C:C,C19)=0),"",_xlfn.MAXIFS('i-recoデータ'!E:E,'i-recoデータ'!C:C,C19))</f>
        <v/>
      </c>
      <c r="J19" s="83" t="str">
        <f ca="1">IF(C19="","",_xlfn.MINIFS(INDIRECT("'["&amp;$J$1&amp;"]Sheet1'!$E:$E"),INDIRECT("'["&amp;$J$1&amp;"]Sheet1'!$A:$A"),SUBSTITUTE(SUBSTITUTE('勤務表 (iPRo)'!$O$3," ",""),"　",""),INDIRECT("'["&amp;$J$1&amp;"]Sheet1'!$D:$D"),C19))</f>
        <v/>
      </c>
      <c r="K19" t="b">
        <f t="shared" ca="1" si="2"/>
        <v>1</v>
      </c>
      <c r="L19" s="83" t="str">
        <f ca="1">IF(C19="","",_xlfn.MAXIFS(INDIRECT("'["&amp;$J$1&amp;"]Sheet1'!$F:$F"),INDIRECT("'["&amp;$J$1&amp;"]Sheet1'!$A:$A"),SUBSTITUTE(SUBSTITUTE('勤務表 (iPRo)'!$O$3," ",""),"　",""),INDIRECT("'["&amp;$J$1&amp;"]Sheet1'!$D:$D"),C19))</f>
        <v/>
      </c>
      <c r="M19" t="b">
        <f t="shared" ca="1" si="3"/>
        <v>1</v>
      </c>
    </row>
    <row r="20" spans="3:13">
      <c r="C20" s="81" t="str">
        <f t="shared" si="4"/>
        <v/>
      </c>
      <c r="D20" s="83" t="str">
        <f t="shared" si="0"/>
        <v/>
      </c>
      <c r="E20" s="83" t="str">
        <f t="shared" si="1"/>
        <v/>
      </c>
      <c r="F20" s="83" t="str">
        <f>IF(OR(C20="",COUNTIF('F-Chairデータ'!C:C,C20)=0),"",_xlfn.MINIFS('F-Chairデータ'!D:D,'F-Chairデータ'!C:C,C20))</f>
        <v/>
      </c>
      <c r="G20" s="83" t="str">
        <f>IF(OR(C20="",COUNTIF('F-Chairデータ'!C:C,C20)=0),"",_xlfn.MAXIFS('F-Chairデータ'!E:E,'F-Chairデータ'!C:C,C20))</f>
        <v/>
      </c>
      <c r="H20" s="83" t="str">
        <f>IF(OR(C20="",COUNTIF('i-recoデータ'!C:C,C20)=0),"",_xlfn.MINIFS('i-recoデータ'!D:D,'i-recoデータ'!C:C,C20))</f>
        <v/>
      </c>
      <c r="I20" s="83" t="str">
        <f>IF(OR(C20="",COUNTIF('i-recoデータ'!C:C,C20)=0),"",_xlfn.MAXIFS('i-recoデータ'!E:E,'i-recoデータ'!C:C,C20))</f>
        <v/>
      </c>
      <c r="J20" s="83" t="str">
        <f ca="1">IF(C20="","",_xlfn.MINIFS(INDIRECT("'["&amp;$J$1&amp;"]Sheet1'!$E:$E"),INDIRECT("'["&amp;$J$1&amp;"]Sheet1'!$A:$A"),SUBSTITUTE(SUBSTITUTE('勤務表 (iPRo)'!$O$3," ",""),"　",""),INDIRECT("'["&amp;$J$1&amp;"]Sheet1'!$D:$D"),C20))</f>
        <v/>
      </c>
      <c r="K20" t="b">
        <f t="shared" ca="1" si="2"/>
        <v>1</v>
      </c>
      <c r="L20" s="83" t="str">
        <f ca="1">IF(C20="","",_xlfn.MAXIFS(INDIRECT("'["&amp;$J$1&amp;"]Sheet1'!$F:$F"),INDIRECT("'["&amp;$J$1&amp;"]Sheet1'!$A:$A"),SUBSTITUTE(SUBSTITUTE('勤務表 (iPRo)'!$O$3," ",""),"　",""),INDIRECT("'["&amp;$J$1&amp;"]Sheet1'!$D:$D"),C20))</f>
        <v/>
      </c>
      <c r="M20" t="b">
        <f t="shared" ca="1" si="3"/>
        <v>1</v>
      </c>
    </row>
    <row r="21" spans="3:13">
      <c r="C21" s="81" t="str">
        <f t="shared" si="4"/>
        <v/>
      </c>
      <c r="D21" s="83" t="str">
        <f t="shared" si="0"/>
        <v/>
      </c>
      <c r="E21" s="83" t="str">
        <f t="shared" si="1"/>
        <v/>
      </c>
      <c r="F21" s="83" t="str">
        <f>IF(OR(C21="",COUNTIF('F-Chairデータ'!C:C,C21)=0),"",_xlfn.MINIFS('F-Chairデータ'!D:D,'F-Chairデータ'!C:C,C21))</f>
        <v/>
      </c>
      <c r="G21" s="83" t="str">
        <f>IF(OR(C21="",COUNTIF('F-Chairデータ'!C:C,C21)=0),"",_xlfn.MAXIFS('F-Chairデータ'!E:E,'F-Chairデータ'!C:C,C21))</f>
        <v/>
      </c>
      <c r="H21" s="83" t="str">
        <f>IF(OR(C21="",COUNTIF('i-recoデータ'!C:C,C21)=0),"",_xlfn.MINIFS('i-recoデータ'!D:D,'i-recoデータ'!C:C,C21))</f>
        <v/>
      </c>
      <c r="I21" s="83" t="str">
        <f>IF(OR(C21="",COUNTIF('i-recoデータ'!C:C,C21)=0),"",_xlfn.MAXIFS('i-recoデータ'!E:E,'i-recoデータ'!C:C,C21))</f>
        <v/>
      </c>
      <c r="J21" s="83" t="str">
        <f ca="1">IF(C21="","",_xlfn.MINIFS(INDIRECT("'["&amp;$J$1&amp;"]Sheet1'!$E:$E"),INDIRECT("'["&amp;$J$1&amp;"]Sheet1'!$A:$A"),SUBSTITUTE(SUBSTITUTE('勤務表 (iPRo)'!$O$3," ",""),"　",""),INDIRECT("'["&amp;$J$1&amp;"]Sheet1'!$D:$D"),C21))</f>
        <v/>
      </c>
      <c r="K21" t="b">
        <f t="shared" ca="1" si="2"/>
        <v>1</v>
      </c>
      <c r="L21" s="83" t="str">
        <f ca="1">IF(C21="","",_xlfn.MAXIFS(INDIRECT("'["&amp;$J$1&amp;"]Sheet1'!$F:$F"),INDIRECT("'["&amp;$J$1&amp;"]Sheet1'!$A:$A"),SUBSTITUTE(SUBSTITUTE('勤務表 (iPRo)'!$O$3," ",""),"　",""),INDIRECT("'["&amp;$J$1&amp;"]Sheet1'!$D:$D"),C21))</f>
        <v/>
      </c>
      <c r="M21" t="b">
        <f t="shared" ca="1" si="3"/>
        <v>1</v>
      </c>
    </row>
    <row r="22" spans="3:13">
      <c r="C22" s="81" t="str">
        <f t="shared" si="4"/>
        <v/>
      </c>
      <c r="D22" s="83" t="str">
        <f t="shared" si="0"/>
        <v/>
      </c>
      <c r="E22" s="83" t="str">
        <f t="shared" si="1"/>
        <v/>
      </c>
      <c r="F22" s="83" t="str">
        <f>IF(OR(C22="",COUNTIF('F-Chairデータ'!C:C,C22)=0),"",_xlfn.MINIFS('F-Chairデータ'!D:D,'F-Chairデータ'!C:C,C22))</f>
        <v/>
      </c>
      <c r="G22" s="83" t="str">
        <f>IF(OR(C22="",COUNTIF('F-Chairデータ'!C:C,C22)=0),"",_xlfn.MAXIFS('F-Chairデータ'!E:E,'F-Chairデータ'!C:C,C22))</f>
        <v/>
      </c>
      <c r="H22" s="83" t="str">
        <f>IF(OR(C22="",COUNTIF('i-recoデータ'!C:C,C22)=0),"",_xlfn.MINIFS('i-recoデータ'!D:D,'i-recoデータ'!C:C,C22))</f>
        <v/>
      </c>
      <c r="I22" s="83" t="str">
        <f>IF(OR(C22="",COUNTIF('i-recoデータ'!C:C,C22)=0),"",_xlfn.MAXIFS('i-recoデータ'!E:E,'i-recoデータ'!C:C,C22))</f>
        <v/>
      </c>
      <c r="J22" s="83" t="str">
        <f ca="1">IF(C22="","",_xlfn.MINIFS(INDIRECT("'["&amp;$J$1&amp;"]Sheet1'!$E:$E"),INDIRECT("'["&amp;$J$1&amp;"]Sheet1'!$A:$A"),SUBSTITUTE(SUBSTITUTE('勤務表 (iPRo)'!$O$3," ",""),"　",""),INDIRECT("'["&amp;$J$1&amp;"]Sheet1'!$D:$D"),C22))</f>
        <v/>
      </c>
      <c r="K22" t="b">
        <f t="shared" ca="1" si="2"/>
        <v>1</v>
      </c>
      <c r="L22" s="83" t="str">
        <f ca="1">IF(C22="","",_xlfn.MAXIFS(INDIRECT("'["&amp;$J$1&amp;"]Sheet1'!$F:$F"),INDIRECT("'["&amp;$J$1&amp;"]Sheet1'!$A:$A"),SUBSTITUTE(SUBSTITUTE('勤務表 (iPRo)'!$O$3," ",""),"　",""),INDIRECT("'["&amp;$J$1&amp;"]Sheet1'!$D:$D"),C22))</f>
        <v/>
      </c>
      <c r="M22" t="b">
        <f t="shared" ca="1" si="3"/>
        <v>1</v>
      </c>
    </row>
    <row r="23" spans="3:13">
      <c r="C23" s="81" t="str">
        <f t="shared" si="4"/>
        <v/>
      </c>
      <c r="D23" s="83" t="str">
        <f t="shared" si="0"/>
        <v/>
      </c>
      <c r="E23" s="83" t="str">
        <f t="shared" si="1"/>
        <v/>
      </c>
      <c r="F23" s="83" t="str">
        <f>IF(OR(C23="",COUNTIF('F-Chairデータ'!C:C,C23)=0),"",_xlfn.MINIFS('F-Chairデータ'!D:D,'F-Chairデータ'!C:C,C23))</f>
        <v/>
      </c>
      <c r="G23" s="83" t="str">
        <f>IF(OR(C23="",COUNTIF('F-Chairデータ'!C:C,C23)=0),"",_xlfn.MAXIFS('F-Chairデータ'!E:E,'F-Chairデータ'!C:C,C23))</f>
        <v/>
      </c>
      <c r="H23" s="83" t="str">
        <f>IF(OR(C23="",COUNTIF('i-recoデータ'!C:C,C23)=0),"",_xlfn.MINIFS('i-recoデータ'!D:D,'i-recoデータ'!C:C,C23))</f>
        <v/>
      </c>
      <c r="I23" s="83" t="str">
        <f>IF(OR(C23="",COUNTIF('i-recoデータ'!C:C,C23)=0),"",_xlfn.MAXIFS('i-recoデータ'!E:E,'i-recoデータ'!C:C,C23))</f>
        <v/>
      </c>
      <c r="J23" s="83" t="str">
        <f ca="1">IF(C23="","",_xlfn.MINIFS(INDIRECT("'["&amp;$J$1&amp;"]Sheet1'!$E:$E"),INDIRECT("'["&amp;$J$1&amp;"]Sheet1'!$A:$A"),SUBSTITUTE(SUBSTITUTE('勤務表 (iPRo)'!$O$3," ",""),"　",""),INDIRECT("'["&amp;$J$1&amp;"]Sheet1'!$D:$D"),C23))</f>
        <v/>
      </c>
      <c r="K23" t="b">
        <f t="shared" ca="1" si="2"/>
        <v>1</v>
      </c>
      <c r="L23" s="83" t="str">
        <f ca="1">IF(C23="","",_xlfn.MAXIFS(INDIRECT("'["&amp;$J$1&amp;"]Sheet1'!$F:$F"),INDIRECT("'["&amp;$J$1&amp;"]Sheet1'!$A:$A"),SUBSTITUTE(SUBSTITUTE('勤務表 (iPRo)'!$O$3," ",""),"　",""),INDIRECT("'["&amp;$J$1&amp;"]Sheet1'!$D:$D"),C23))</f>
        <v/>
      </c>
      <c r="M23" t="b">
        <f t="shared" ca="1" si="3"/>
        <v>1</v>
      </c>
    </row>
    <row r="24" spans="3:13">
      <c r="C24" s="81" t="str">
        <f t="shared" si="4"/>
        <v/>
      </c>
      <c r="D24" s="83" t="str">
        <f t="shared" si="0"/>
        <v/>
      </c>
      <c r="E24" s="83" t="str">
        <f t="shared" si="1"/>
        <v/>
      </c>
      <c r="F24" s="83" t="str">
        <f>IF(OR(C24="",COUNTIF('F-Chairデータ'!C:C,C24)=0),"",_xlfn.MINIFS('F-Chairデータ'!D:D,'F-Chairデータ'!C:C,C24))</f>
        <v/>
      </c>
      <c r="G24" s="83" t="str">
        <f>IF(OR(C24="",COUNTIF('F-Chairデータ'!C:C,C24)=0),"",_xlfn.MAXIFS('F-Chairデータ'!E:E,'F-Chairデータ'!C:C,C24))</f>
        <v/>
      </c>
      <c r="H24" s="83" t="str">
        <f>IF(OR(C24="",COUNTIF('i-recoデータ'!C:C,C24)=0),"",_xlfn.MINIFS('i-recoデータ'!D:D,'i-recoデータ'!C:C,C24))</f>
        <v/>
      </c>
      <c r="I24" s="83" t="str">
        <f>IF(OR(C24="",COUNTIF('i-recoデータ'!C:C,C24)=0),"",_xlfn.MAXIFS('i-recoデータ'!E:E,'i-recoデータ'!C:C,C24))</f>
        <v/>
      </c>
      <c r="J24" s="83" t="str">
        <f ca="1">IF(C24="","",_xlfn.MINIFS(INDIRECT("'["&amp;$J$1&amp;"]Sheet1'!$E:$E"),INDIRECT("'["&amp;$J$1&amp;"]Sheet1'!$A:$A"),SUBSTITUTE(SUBSTITUTE('勤務表 (iPRo)'!$O$3," ",""),"　",""),INDIRECT("'["&amp;$J$1&amp;"]Sheet1'!$D:$D"),C24))</f>
        <v/>
      </c>
      <c r="K24" t="b">
        <f t="shared" ca="1" si="2"/>
        <v>1</v>
      </c>
      <c r="L24" s="83" t="str">
        <f ca="1">IF(C24="","",_xlfn.MAXIFS(INDIRECT("'["&amp;$J$1&amp;"]Sheet1'!$F:$F"),INDIRECT("'["&amp;$J$1&amp;"]Sheet1'!$A:$A"),SUBSTITUTE(SUBSTITUTE('勤務表 (iPRo)'!$O$3," ",""),"　",""),INDIRECT("'["&amp;$J$1&amp;"]Sheet1'!$D:$D"),C24))</f>
        <v/>
      </c>
      <c r="M24" t="b">
        <f t="shared" ca="1" si="3"/>
        <v>1</v>
      </c>
    </row>
    <row r="25" spans="3:13">
      <c r="C25" s="81" t="str">
        <f t="shared" si="4"/>
        <v/>
      </c>
      <c r="D25" s="83" t="str">
        <f t="shared" si="0"/>
        <v/>
      </c>
      <c r="E25" s="83" t="str">
        <f t="shared" si="1"/>
        <v/>
      </c>
      <c r="F25" s="83" t="str">
        <f>IF(OR(C25="",COUNTIF('F-Chairデータ'!C:C,C25)=0),"",_xlfn.MINIFS('F-Chairデータ'!D:D,'F-Chairデータ'!C:C,C25))</f>
        <v/>
      </c>
      <c r="G25" s="83" t="str">
        <f>IF(OR(C25="",COUNTIF('F-Chairデータ'!C:C,C25)=0),"",_xlfn.MAXIFS('F-Chairデータ'!E:E,'F-Chairデータ'!C:C,C25))</f>
        <v/>
      </c>
      <c r="H25" s="83" t="str">
        <f>IF(OR(C25="",COUNTIF('i-recoデータ'!C:C,C25)=0),"",_xlfn.MINIFS('i-recoデータ'!D:D,'i-recoデータ'!C:C,C25))</f>
        <v/>
      </c>
      <c r="I25" s="83" t="str">
        <f>IF(OR(C25="",COUNTIF('i-recoデータ'!C:C,C25)=0),"",_xlfn.MAXIFS('i-recoデータ'!E:E,'i-recoデータ'!C:C,C25))</f>
        <v/>
      </c>
      <c r="J25" s="83" t="str">
        <f ca="1">IF(C25="","",_xlfn.MINIFS(INDIRECT("'["&amp;$J$1&amp;"]Sheet1'!$E:$E"),INDIRECT("'["&amp;$J$1&amp;"]Sheet1'!$A:$A"),SUBSTITUTE(SUBSTITUTE('勤務表 (iPRo)'!$O$3," ",""),"　",""),INDIRECT("'["&amp;$J$1&amp;"]Sheet1'!$D:$D"),C25))</f>
        <v/>
      </c>
      <c r="K25" t="b">
        <f t="shared" ca="1" si="2"/>
        <v>1</v>
      </c>
      <c r="L25" s="83" t="str">
        <f ca="1">IF(C25="","",_xlfn.MAXIFS(INDIRECT("'["&amp;$J$1&amp;"]Sheet1'!$F:$F"),INDIRECT("'["&amp;$J$1&amp;"]Sheet1'!$A:$A"),SUBSTITUTE(SUBSTITUTE('勤務表 (iPRo)'!$O$3," ",""),"　",""),INDIRECT("'["&amp;$J$1&amp;"]Sheet1'!$D:$D"),C25))</f>
        <v/>
      </c>
      <c r="M25" t="b">
        <f t="shared" ca="1" si="3"/>
        <v>1</v>
      </c>
    </row>
    <row r="26" spans="3:13">
      <c r="C26" s="81" t="str">
        <f t="shared" si="4"/>
        <v/>
      </c>
      <c r="D26" s="83" t="str">
        <f t="shared" si="0"/>
        <v/>
      </c>
      <c r="E26" s="83" t="str">
        <f t="shared" si="1"/>
        <v/>
      </c>
      <c r="F26" s="83" t="str">
        <f>IF(OR(C26="",COUNTIF('F-Chairデータ'!C:C,C26)=0),"",_xlfn.MINIFS('F-Chairデータ'!D:D,'F-Chairデータ'!C:C,C26))</f>
        <v/>
      </c>
      <c r="G26" s="83" t="str">
        <f>IF(OR(C26="",COUNTIF('F-Chairデータ'!C:C,C26)=0),"",_xlfn.MAXIFS('F-Chairデータ'!E:E,'F-Chairデータ'!C:C,C26))</f>
        <v/>
      </c>
      <c r="H26" s="83" t="str">
        <f>IF(OR(C26="",COUNTIF('i-recoデータ'!C:C,C26)=0),"",_xlfn.MINIFS('i-recoデータ'!D:D,'i-recoデータ'!C:C,C26))</f>
        <v/>
      </c>
      <c r="I26" s="83" t="str">
        <f>IF(OR(C26="",COUNTIF('i-recoデータ'!C:C,C26)=0),"",_xlfn.MAXIFS('i-recoデータ'!E:E,'i-recoデータ'!C:C,C26))</f>
        <v/>
      </c>
      <c r="J26" s="83" t="str">
        <f ca="1">IF(C26="","",_xlfn.MINIFS(INDIRECT("'["&amp;$J$1&amp;"]Sheet1'!$E:$E"),INDIRECT("'["&amp;$J$1&amp;"]Sheet1'!$A:$A"),SUBSTITUTE(SUBSTITUTE('勤務表 (iPRo)'!$O$3," ",""),"　",""),INDIRECT("'["&amp;$J$1&amp;"]Sheet1'!$D:$D"),C26))</f>
        <v/>
      </c>
      <c r="K26" t="b">
        <f t="shared" ca="1" si="2"/>
        <v>1</v>
      </c>
      <c r="L26" s="83" t="str">
        <f ca="1">IF(C26="","",_xlfn.MAXIFS(INDIRECT("'["&amp;$J$1&amp;"]Sheet1'!$F:$F"),INDIRECT("'["&amp;$J$1&amp;"]Sheet1'!$A:$A"),SUBSTITUTE(SUBSTITUTE('勤務表 (iPRo)'!$O$3," ",""),"　",""),INDIRECT("'["&amp;$J$1&amp;"]Sheet1'!$D:$D"),C26))</f>
        <v/>
      </c>
      <c r="M26" t="b">
        <f t="shared" ca="1" si="3"/>
        <v>1</v>
      </c>
    </row>
    <row r="27" spans="3:13">
      <c r="C27" s="81" t="str">
        <f t="shared" si="4"/>
        <v/>
      </c>
      <c r="D27" s="83" t="str">
        <f t="shared" si="0"/>
        <v/>
      </c>
      <c r="E27" s="83" t="str">
        <f t="shared" si="1"/>
        <v/>
      </c>
      <c r="F27" s="83" t="str">
        <f>IF(OR(C27="",COUNTIF('F-Chairデータ'!C:C,C27)=0),"",_xlfn.MINIFS('F-Chairデータ'!D:D,'F-Chairデータ'!C:C,C27))</f>
        <v/>
      </c>
      <c r="G27" s="83" t="str">
        <f>IF(OR(C27="",COUNTIF('F-Chairデータ'!C:C,C27)=0),"",_xlfn.MAXIFS('F-Chairデータ'!E:E,'F-Chairデータ'!C:C,C27))</f>
        <v/>
      </c>
      <c r="H27" s="83" t="str">
        <f>IF(OR(C27="",COUNTIF('i-recoデータ'!C:C,C27)=0),"",_xlfn.MINIFS('i-recoデータ'!D:D,'i-recoデータ'!C:C,C27))</f>
        <v/>
      </c>
      <c r="I27" s="83" t="str">
        <f>IF(OR(C27="",COUNTIF('i-recoデータ'!C:C,C27)=0),"",_xlfn.MAXIFS('i-recoデータ'!E:E,'i-recoデータ'!C:C,C27))</f>
        <v/>
      </c>
      <c r="J27" s="83" t="str">
        <f ca="1">IF(C27="","",_xlfn.MINIFS(INDIRECT("'["&amp;$J$1&amp;"]Sheet1'!$E:$E"),INDIRECT("'["&amp;$J$1&amp;"]Sheet1'!$A:$A"),SUBSTITUTE(SUBSTITUTE('勤務表 (iPRo)'!$O$3," ",""),"　",""),INDIRECT("'["&amp;$J$1&amp;"]Sheet1'!$D:$D"),C27))</f>
        <v/>
      </c>
      <c r="K27" t="b">
        <f t="shared" ca="1" si="2"/>
        <v>1</v>
      </c>
      <c r="L27" s="83" t="str">
        <f ca="1">IF(C27="","",_xlfn.MAXIFS(INDIRECT("'["&amp;$J$1&amp;"]Sheet1'!$F:$F"),INDIRECT("'["&amp;$J$1&amp;"]Sheet1'!$A:$A"),SUBSTITUTE(SUBSTITUTE('勤務表 (iPRo)'!$O$3," ",""),"　",""),INDIRECT("'["&amp;$J$1&amp;"]Sheet1'!$D:$D"),C27))</f>
        <v/>
      </c>
      <c r="M27" t="b">
        <f t="shared" ca="1" si="3"/>
        <v>1</v>
      </c>
    </row>
    <row r="28" spans="3:13">
      <c r="C28" s="81" t="str">
        <f t="shared" si="4"/>
        <v/>
      </c>
      <c r="D28" s="83" t="str">
        <f t="shared" si="0"/>
        <v/>
      </c>
      <c r="E28" s="83" t="str">
        <f t="shared" si="1"/>
        <v/>
      </c>
      <c r="F28" s="83" t="str">
        <f>IF(OR(C28="",COUNTIF('F-Chairデータ'!C:C,C28)=0),"",_xlfn.MINIFS('F-Chairデータ'!D:D,'F-Chairデータ'!C:C,C28))</f>
        <v/>
      </c>
      <c r="G28" s="83" t="str">
        <f>IF(OR(C28="",COUNTIF('F-Chairデータ'!C:C,C28)=0),"",_xlfn.MAXIFS('F-Chairデータ'!E:E,'F-Chairデータ'!C:C,C28))</f>
        <v/>
      </c>
      <c r="H28" s="83" t="str">
        <f>IF(OR(C28="",COUNTIF('i-recoデータ'!C:C,C28)=0),"",_xlfn.MINIFS('i-recoデータ'!D:D,'i-recoデータ'!C:C,C28))</f>
        <v/>
      </c>
      <c r="I28" s="83" t="str">
        <f>IF(OR(C28="",COUNTIF('i-recoデータ'!C:C,C28)=0),"",_xlfn.MAXIFS('i-recoデータ'!E:E,'i-recoデータ'!C:C,C28))</f>
        <v/>
      </c>
      <c r="J28" s="83" t="str">
        <f ca="1">IF(C28="","",_xlfn.MINIFS(INDIRECT("'["&amp;$J$1&amp;"]Sheet1'!$E:$E"),INDIRECT("'["&amp;$J$1&amp;"]Sheet1'!$A:$A"),SUBSTITUTE(SUBSTITUTE('勤務表 (iPRo)'!$O$3," ",""),"　",""),INDIRECT("'["&amp;$J$1&amp;"]Sheet1'!$D:$D"),C28))</f>
        <v/>
      </c>
      <c r="K28" t="b">
        <f t="shared" ca="1" si="2"/>
        <v>1</v>
      </c>
      <c r="L28" s="83" t="str">
        <f ca="1">IF(C28="","",_xlfn.MAXIFS(INDIRECT("'["&amp;$J$1&amp;"]Sheet1'!$F:$F"),INDIRECT("'["&amp;$J$1&amp;"]Sheet1'!$A:$A"),SUBSTITUTE(SUBSTITUTE('勤務表 (iPRo)'!$O$3," ",""),"　",""),INDIRECT("'["&amp;$J$1&amp;"]Sheet1'!$D:$D"),C28))</f>
        <v/>
      </c>
      <c r="M28" t="b">
        <f t="shared" ca="1" si="3"/>
        <v>1</v>
      </c>
    </row>
    <row r="29" spans="3:13">
      <c r="C29" s="81" t="str">
        <f t="shared" si="4"/>
        <v/>
      </c>
      <c r="D29" s="83" t="str">
        <f t="shared" si="0"/>
        <v/>
      </c>
      <c r="E29" s="83" t="str">
        <f t="shared" si="1"/>
        <v/>
      </c>
      <c r="F29" s="83" t="str">
        <f>IF(OR(C29="",COUNTIF('F-Chairデータ'!C:C,C29)=0),"",_xlfn.MINIFS('F-Chairデータ'!D:D,'F-Chairデータ'!C:C,C29))</f>
        <v/>
      </c>
      <c r="G29" s="83" t="str">
        <f>IF(OR(C29="",COUNTIF('F-Chairデータ'!C:C,C29)=0),"",_xlfn.MAXIFS('F-Chairデータ'!E:E,'F-Chairデータ'!C:C,C29))</f>
        <v/>
      </c>
      <c r="H29" s="83" t="str">
        <f>IF(OR(C29="",COUNTIF('i-recoデータ'!C:C,C29)=0),"",_xlfn.MINIFS('i-recoデータ'!D:D,'i-recoデータ'!C:C,C29))</f>
        <v/>
      </c>
      <c r="I29" s="83" t="str">
        <f>IF(OR(C29="",COUNTIF('i-recoデータ'!C:C,C29)=0),"",_xlfn.MAXIFS('i-recoデータ'!E:E,'i-recoデータ'!C:C,C29))</f>
        <v/>
      </c>
      <c r="J29" s="83" t="str">
        <f ca="1">IF(C29="","",_xlfn.MINIFS(INDIRECT("'["&amp;$J$1&amp;"]Sheet1'!$E:$E"),INDIRECT("'["&amp;$J$1&amp;"]Sheet1'!$A:$A"),SUBSTITUTE(SUBSTITUTE('勤務表 (iPRo)'!$O$3," ",""),"　",""),INDIRECT("'["&amp;$J$1&amp;"]Sheet1'!$D:$D"),C29))</f>
        <v/>
      </c>
      <c r="K29" t="b">
        <f t="shared" ca="1" si="2"/>
        <v>1</v>
      </c>
      <c r="L29" s="83" t="str">
        <f ca="1">IF(C29="","",_xlfn.MAXIFS(INDIRECT("'["&amp;$J$1&amp;"]Sheet1'!$F:$F"),INDIRECT("'["&amp;$J$1&amp;"]Sheet1'!$A:$A"),SUBSTITUTE(SUBSTITUTE('勤務表 (iPRo)'!$O$3," ",""),"　",""),INDIRECT("'["&amp;$J$1&amp;"]Sheet1'!$D:$D"),C29))</f>
        <v/>
      </c>
      <c r="M29" t="b">
        <f t="shared" ca="1" si="3"/>
        <v>1</v>
      </c>
    </row>
    <row r="30" spans="3:13">
      <c r="C30" s="81" t="str">
        <f t="shared" si="4"/>
        <v/>
      </c>
      <c r="D30" s="83" t="str">
        <f t="shared" si="0"/>
        <v/>
      </c>
      <c r="E30" s="83" t="str">
        <f t="shared" si="1"/>
        <v/>
      </c>
      <c r="F30" s="83" t="str">
        <f>IF(OR(C30="",COUNTIF('F-Chairデータ'!C:C,C30)=0),"",_xlfn.MINIFS('F-Chairデータ'!D:D,'F-Chairデータ'!C:C,C30))</f>
        <v/>
      </c>
      <c r="G30" s="83" t="str">
        <f>IF(OR(C30="",COUNTIF('F-Chairデータ'!C:C,C30)=0),"",_xlfn.MAXIFS('F-Chairデータ'!E:E,'F-Chairデータ'!C:C,C30))</f>
        <v/>
      </c>
      <c r="H30" s="83" t="str">
        <f>IF(OR(C30="",COUNTIF('i-recoデータ'!C:C,C30)=0),"",_xlfn.MINIFS('i-recoデータ'!D:D,'i-recoデータ'!C:C,C30))</f>
        <v/>
      </c>
      <c r="I30" s="83" t="str">
        <f>IF(OR(C30="",COUNTIF('i-recoデータ'!C:C,C30)=0),"",_xlfn.MAXIFS('i-recoデータ'!E:E,'i-recoデータ'!C:C,C30))</f>
        <v/>
      </c>
      <c r="J30" s="83" t="str">
        <f ca="1">IF(C30="","",_xlfn.MINIFS(INDIRECT("'["&amp;$J$1&amp;"]Sheet1'!$E:$E"),INDIRECT("'["&amp;$J$1&amp;"]Sheet1'!$A:$A"),SUBSTITUTE(SUBSTITUTE('勤務表 (iPRo)'!$O$3," ",""),"　",""),INDIRECT("'["&amp;$J$1&amp;"]Sheet1'!$D:$D"),C30))</f>
        <v/>
      </c>
      <c r="K30" t="b">
        <f t="shared" ca="1" si="2"/>
        <v>1</v>
      </c>
      <c r="L30" s="83" t="str">
        <f ca="1">IF(C30="","",_xlfn.MAXIFS(INDIRECT("'["&amp;$J$1&amp;"]Sheet1'!$F:$F"),INDIRECT("'["&amp;$J$1&amp;"]Sheet1'!$A:$A"),SUBSTITUTE(SUBSTITUTE('勤務表 (iPRo)'!$O$3," ",""),"　",""),INDIRECT("'["&amp;$J$1&amp;"]Sheet1'!$D:$D"),C30))</f>
        <v/>
      </c>
      <c r="M30" t="b">
        <f t="shared" ca="1" si="3"/>
        <v>1</v>
      </c>
    </row>
    <row r="31" spans="3:13">
      <c r="C31" s="81" t="str">
        <f t="shared" si="4"/>
        <v/>
      </c>
      <c r="D31" s="83" t="str">
        <f t="shared" si="0"/>
        <v/>
      </c>
      <c r="E31" s="83" t="str">
        <f t="shared" si="1"/>
        <v/>
      </c>
      <c r="F31" s="83" t="str">
        <f>IF(OR(C31="",COUNTIF('F-Chairデータ'!C:C,C31)=0),"",_xlfn.MINIFS('F-Chairデータ'!D:D,'F-Chairデータ'!C:C,C31))</f>
        <v/>
      </c>
      <c r="G31" s="83" t="str">
        <f>IF(OR(C31="",COUNTIF('F-Chairデータ'!C:C,C31)=0),"",_xlfn.MAXIFS('F-Chairデータ'!E:E,'F-Chairデータ'!C:C,C31))</f>
        <v/>
      </c>
      <c r="H31" s="83" t="str">
        <f>IF(OR(C31="",COUNTIF('i-recoデータ'!C:C,C31)=0),"",_xlfn.MINIFS('i-recoデータ'!D:D,'i-recoデータ'!C:C,C31))</f>
        <v/>
      </c>
      <c r="I31" s="83" t="str">
        <f>IF(OR(C31="",COUNTIF('i-recoデータ'!C:C,C31)=0),"",_xlfn.MAXIFS('i-recoデータ'!E:E,'i-recoデータ'!C:C,C31))</f>
        <v/>
      </c>
      <c r="J31" s="83" t="str">
        <f ca="1">IF(C31="","",_xlfn.MINIFS(INDIRECT("'["&amp;$J$1&amp;"]Sheet1'!$E:$E"),INDIRECT("'["&amp;$J$1&amp;"]Sheet1'!$A:$A"),SUBSTITUTE(SUBSTITUTE('勤務表 (iPRo)'!$O$3," ",""),"　",""),INDIRECT("'["&amp;$J$1&amp;"]Sheet1'!$D:$D"),C31))</f>
        <v/>
      </c>
      <c r="K31" t="b">
        <f t="shared" ca="1" si="2"/>
        <v>1</v>
      </c>
      <c r="L31" s="83" t="str">
        <f ca="1">IF(C31="","",_xlfn.MAXIFS(INDIRECT("'["&amp;$J$1&amp;"]Sheet1'!$F:$F"),INDIRECT("'["&amp;$J$1&amp;"]Sheet1'!$A:$A"),SUBSTITUTE(SUBSTITUTE('勤務表 (iPRo)'!$O$3," ",""),"　",""),INDIRECT("'["&amp;$J$1&amp;"]Sheet1'!$D:$D"),C31))</f>
        <v/>
      </c>
      <c r="M31" t="b">
        <f t="shared" ca="1" si="3"/>
        <v>1</v>
      </c>
    </row>
    <row r="32" spans="3:13">
      <c r="C32" s="81" t="str">
        <f t="shared" si="4"/>
        <v/>
      </c>
      <c r="D32" s="83" t="str">
        <f t="shared" si="0"/>
        <v/>
      </c>
      <c r="E32" s="83" t="str">
        <f t="shared" si="1"/>
        <v/>
      </c>
      <c r="F32" s="83" t="str">
        <f>IF(OR(C32="",COUNTIF('F-Chairデータ'!C:C,C32)=0),"",_xlfn.MINIFS('F-Chairデータ'!D:D,'F-Chairデータ'!C:C,C32))</f>
        <v/>
      </c>
      <c r="G32" s="83" t="str">
        <f>IF(OR(C32="",COUNTIF('F-Chairデータ'!C:C,C32)=0),"",_xlfn.MAXIFS('F-Chairデータ'!E:E,'F-Chairデータ'!C:C,C32))</f>
        <v/>
      </c>
      <c r="H32" s="83" t="str">
        <f>IF(OR(C32="",COUNTIF('i-recoデータ'!C:C,C32)=0),"",_xlfn.MINIFS('i-recoデータ'!D:D,'i-recoデータ'!C:C,C32))</f>
        <v/>
      </c>
      <c r="I32" s="83" t="str">
        <f>IF(OR(C32="",COUNTIF('i-recoデータ'!C:C,C32)=0),"",_xlfn.MAXIFS('i-recoデータ'!E:E,'i-recoデータ'!C:C,C32))</f>
        <v/>
      </c>
      <c r="J32" s="83" t="str">
        <f ca="1">IF(C32="","",_xlfn.MINIFS(INDIRECT("'["&amp;$J$1&amp;"]Sheet1'!$E:$E"),INDIRECT("'["&amp;$J$1&amp;"]Sheet1'!$A:$A"),SUBSTITUTE(SUBSTITUTE('勤務表 (iPRo)'!$O$3," ",""),"　",""),INDIRECT("'["&amp;$J$1&amp;"]Sheet1'!$D:$D"),C32))</f>
        <v/>
      </c>
      <c r="K32" t="b">
        <f t="shared" ca="1" si="2"/>
        <v>1</v>
      </c>
      <c r="L32" s="83" t="str">
        <f ca="1">IF(C32="","",_xlfn.MAXIFS(INDIRECT("'["&amp;$J$1&amp;"]Sheet1'!$F:$F"),INDIRECT("'["&amp;$J$1&amp;"]Sheet1'!$A:$A"),SUBSTITUTE(SUBSTITUTE('勤務表 (iPRo)'!$O$3," ",""),"　",""),INDIRECT("'["&amp;$J$1&amp;"]Sheet1'!$D:$D"),C32))</f>
        <v/>
      </c>
      <c r="M32" t="b">
        <f t="shared" ca="1" si="3"/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D0A71CD8FFA04AA03F6320C9D77816" ma:contentTypeVersion="7" ma:contentTypeDescription="新しいドキュメントを作成します。" ma:contentTypeScope="" ma:versionID="6eb36cafa20451972e3c18551152fb65">
  <xsd:schema xmlns:xsd="http://www.w3.org/2001/XMLSchema" xmlns:xs="http://www.w3.org/2001/XMLSchema" xmlns:p="http://schemas.microsoft.com/office/2006/metadata/properties" xmlns:ns2="ff538d1f-74d6-41a6-bcda-72d746cc7a84" targetNamespace="http://schemas.microsoft.com/office/2006/metadata/properties" ma:root="true" ma:fieldsID="659c1cc1b916340e2567e24342369f19" ns2:_="">
    <xsd:import namespace="ff538d1f-74d6-41a6-bcda-72d746cc7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38d1f-74d6-41a6-bcda-72d746cc7a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63D5DD-92AD-4C66-AF14-AB7B44392A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6AE604-09AF-4D34-B2AE-66292DE04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538d1f-74d6-41a6-bcda-72d746cc7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92AE25-5C86-442B-B564-F8D8B4E868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勤務表 (iPRo)</vt:lpstr>
      <vt:lpstr>所属・拠点・確認内容</vt:lpstr>
      <vt:lpstr>F-Chairデータ</vt:lpstr>
      <vt:lpstr>i-recoデータ</vt:lpstr>
      <vt:lpstr>打刻計算用</vt:lpstr>
      <vt:lpstr>'勤務表 (iPRo)'!Print_Area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裕希子</dc:creator>
  <cp:lastModifiedBy>岸本　慎介</cp:lastModifiedBy>
  <cp:lastPrinted>2016-04-20T01:46:12Z</cp:lastPrinted>
  <dcterms:created xsi:type="dcterms:W3CDTF">2016-03-16T05:16:13Z</dcterms:created>
  <dcterms:modified xsi:type="dcterms:W3CDTF">2020-05-15T06:09:10Z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0x010100E8D0A71CD8FFA04AA03F6320C9D77816</vt:lpwstr>
  </property>
</Properties>
</file>